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for users" sheetId="1" r:id="rId4"/>
    <sheet state="visible" name="1.Project Cost and MOF" sheetId="2" r:id="rId5"/>
    <sheet state="visible" name="2.Capex Details" sheetId="3" r:id="rId6"/>
    <sheet state="visible" name="3.Other Exp &amp; Taxes" sheetId="4" r:id="rId7"/>
    <sheet state="visible" name="4.TL repayment sch" sheetId="5" r:id="rId8"/>
    <sheet state="visible" name="5.Closing Stock &amp; W Capital" sheetId="6" r:id="rId9"/>
    <sheet state="visible" name="6.Cons Profit &amp; Loss" sheetId="7" r:id="rId10"/>
    <sheet state="visible" name="7.Balance Sheet" sheetId="8" r:id="rId11"/>
    <sheet state="visible" name="8.Cash Flow " sheetId="9" r:id="rId12"/>
    <sheet state="visible" name="9. Financial indiacators" sheetId="10" r:id="rId13"/>
    <sheet state="visible" name="10.Grain Production details" sheetId="11" r:id="rId14"/>
    <sheet state="visible" name="11.F&amp;V Crop Production details" sheetId="12" r:id="rId15"/>
    <sheet state="visible" name="12.Facility 1 - Trading" sheetId="13" r:id="rId16"/>
    <sheet state="visible" name="13.Facility 2 Grain Processing" sheetId="14" r:id="rId17"/>
    <sheet state="visible" name="14. Facility 3 Warehouse" sheetId="15" r:id="rId18"/>
    <sheet state="visible" name="15. Facility 4 Custom Hiring" sheetId="16" r:id="rId19"/>
    <sheet state="visible" name="16.Facility 5 Agri Input" sheetId="17" r:id="rId20"/>
    <sheet state="visible" name="17.Facility 6 Horti Processing " sheetId="18" r:id="rId21"/>
  </sheets>
  <externalReferences>
    <externalReference r:id="rId22"/>
    <externalReference r:id="rId23"/>
  </externalReferences>
  <definedNames/>
  <calcPr/>
</workbook>
</file>

<file path=xl/sharedStrings.xml><?xml version="1.0" encoding="utf-8"?>
<sst xmlns="http://schemas.openxmlformats.org/spreadsheetml/2006/main" count="1435" uniqueCount="734">
  <si>
    <t>Note for users</t>
  </si>
  <si>
    <t xml:space="preserve">Draft Business Plan Financial Calculator </t>
  </si>
  <si>
    <t xml:space="preserve">1.0 About the calculator </t>
  </si>
  <si>
    <r>
      <rPr>
        <rFont val="Calibri"/>
        <color/>
        <sz val="11.0"/>
      </rPr>
      <t xml:space="preserve">The business plan financial calculator will be the tool to generate the financial projection of the business plan based on the certain data inputs. </t>
    </r>
    <r>
      <rPr>
        <rFont val="Calibri"/>
        <b/>
        <color/>
        <sz val="11.0"/>
      </rPr>
      <t xml:space="preserve">It will be the tool which can be easily used by any professional who understand the basic accounting. The business plan financial calculator will generate following statements automatically based on certain data inputs:
</t>
    </r>
    <r>
      <rPr>
        <rFont val="Calibri"/>
        <color/>
        <sz val="11.0"/>
      </rPr>
      <t>1. Profit and Loss Statement
2. Cash Flow Statement
3. Balance Sheet
4</t>
    </r>
    <r>
      <rPr>
        <rFont val="Calibri"/>
        <color rgb="FFC00000"/>
        <sz val="11.0"/>
      </rPr>
      <t xml:space="preserve">. </t>
    </r>
    <r>
      <rPr>
        <rFont val="Calibri"/>
        <color/>
        <sz val="11.0"/>
      </rPr>
      <t xml:space="preserve">Depreciation, amortization and tax calculation </t>
    </r>
    <r>
      <rPr>
        <rFont val="Calibri"/>
        <color/>
        <sz val="11.0"/>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rFont val="Calibri"/>
        <b/>
        <color/>
        <sz val="11.0"/>
      </rPr>
      <t xml:space="preserve">
The above ratios will help  decision makers for approving the business plan / Full Project Report.</t>
    </r>
  </si>
  <si>
    <t xml:space="preserve">2.0 Features </t>
  </si>
  <si>
    <r>
      <rPr>
        <rFont val="Calibri"/>
        <color/>
        <sz val="11.0"/>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rFont val="Calibri"/>
        <color rgb="FFC00000"/>
        <sz val="11.0"/>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</si>
  <si>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</si>
  <si>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</si>
  <si>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</si>
  <si>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</si>
  <si>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</si>
  <si>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</si>
  <si>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</si>
  <si>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</si>
  <si>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</si>
  <si>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</si>
  <si>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</si>
  <si>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</si>
  <si>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</si>
  <si>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</si>
  <si>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</si>
  <si>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</si>
  <si>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</si>
  <si>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</si>
  <si>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</si>
  <si>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</si>
  <si>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</si>
  <si>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</si>
  <si>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</si>
  <si>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</si>
  <si>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</si>
  <si>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</si>
  <si>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</si>
  <si>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</si>
  <si>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</si>
  <si>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</si>
  <si>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</si>
  <si>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</si>
  <si>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</si>
  <si>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</si>
  <si>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</si>
  <si>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</si>
  <si>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</si>
  <si>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</si>
  <si>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</si>
  <si>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</si>
  <si>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</si>
  <si>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</si>
  <si>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</si>
  <si>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</si>
  <si>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</si>
  <si>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</si>
  <si>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</si>
  <si>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</si>
  <si>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</si>
  <si>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</si>
  <si>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</si>
  <si>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</si>
  <si>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</si>
  <si>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</si>
  <si>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</si>
  <si>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</si>
  <si>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</si>
  <si>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</si>
  <si>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</si>
  <si>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</si>
  <si>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</si>
  <si>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</si>
  <si>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</si>
  <si>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</si>
  <si>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</si>
  <si>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</si>
  <si>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</si>
  <si>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</si>
  <si>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</si>
  <si>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</si>
  <si>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</si>
  <si>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</si>
  <si>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</si>
  <si>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</si>
  <si>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SECTION 5 SUB PROJECT BUDGET AND FINANCIAL ANALYSIS</t>
  </si>
  <si>
    <t>5.1 Total Project Cost</t>
  </si>
  <si>
    <t>BUSINESS CALCULATOR OF KAYADHU FARMERS PRODUCER COMPANY LIMITED</t>
  </si>
  <si>
    <t>Sr. No.</t>
  </si>
  <si>
    <t>Particular</t>
  </si>
  <si>
    <t xml:space="preserve">Grant (%) </t>
  </si>
  <si>
    <t>Grant Amount (Rs.)</t>
  </si>
  <si>
    <t>pre-operative</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</si>
  <si>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</si>
  <si>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</si>
  <si>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</si>
  <si>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5.1.2 Means of Finance</t>
  </si>
  <si>
    <t>Bank Loan (% )</t>
  </si>
  <si>
    <t>Amount (Rs.)</t>
  </si>
  <si>
    <t xml:space="preserve">Govt. Grant under SMART Project </t>
  </si>
  <si>
    <t>Bank Finance - Long Term Loan</t>
  </si>
  <si>
    <t>Own Contribution</t>
  </si>
  <si>
    <t>This sheet provide details of how total project cost will raised</t>
  </si>
  <si>
    <t>5.2.9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</si>
  <si>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</si>
  <si>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</si>
  <si>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</si>
  <si>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</si>
  <si>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</si>
  <si>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</si>
  <si>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</si>
  <si>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</si>
  <si>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</si>
  <si>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</si>
  <si>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</si>
  <si>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</si>
  <si>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</si>
  <si>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</si>
  <si>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</si>
  <si>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</si>
  <si>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</si>
  <si>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</si>
  <si>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</si>
  <si>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</si>
  <si>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</si>
  <si>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</si>
  <si>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</si>
  <si>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</si>
  <si>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5.2.1</t>
  </si>
  <si>
    <t>Land, Building, Shed and Warehouse</t>
  </si>
  <si>
    <t>Unit</t>
  </si>
  <si>
    <t>No. of Unit</t>
  </si>
  <si>
    <t>Rate per unit</t>
  </si>
  <si>
    <t>Land</t>
  </si>
  <si>
    <t>Sq. ft.</t>
  </si>
  <si>
    <t>Owned</t>
  </si>
  <si>
    <t xml:space="preserve">Shed for Cleaning, Grading and Sorting </t>
  </si>
  <si>
    <t>1000 MT</t>
  </si>
  <si>
    <t xml:space="preserve">Warehouse for Storing </t>
  </si>
  <si>
    <t>1800 MT</t>
  </si>
  <si>
    <t>Weigh Bridge</t>
  </si>
  <si>
    <t>60T</t>
  </si>
  <si>
    <t>This Sheet provide details of land and various construction, including area, rate per unit and total amount</t>
  </si>
  <si>
    <t>Machinery and Equipment</t>
  </si>
  <si>
    <t>Capacity</t>
  </si>
  <si>
    <t>No. Required</t>
  </si>
  <si>
    <t>Rate</t>
  </si>
  <si>
    <t>Total HP</t>
  </si>
  <si>
    <t>Subtotal</t>
  </si>
  <si>
    <t>Dal Mill Unit</t>
  </si>
  <si>
    <t>Cleaning, Grading &amp; Sorting</t>
  </si>
  <si>
    <t>Padsons Grader</t>
  </si>
  <si>
    <t>4 TPH</t>
  </si>
  <si>
    <t>Padsons Gravity Separator</t>
  </si>
  <si>
    <t>Padsons De-Stoner</t>
  </si>
  <si>
    <t>Padsons Mudball Seprator</t>
  </si>
  <si>
    <t>Padsons Storage Bin 10 Ton</t>
  </si>
  <si>
    <t>Padsons Automatic Weighing Bagging</t>
  </si>
  <si>
    <t>Padsons Horizontal Conveyor</t>
  </si>
  <si>
    <t>Air Compressor 7.5 HP</t>
  </si>
  <si>
    <t>Padsons Bucket Elevator</t>
  </si>
  <si>
    <t>Extra Screen Set for Grader</t>
  </si>
  <si>
    <t>Control Panel</t>
  </si>
  <si>
    <t>Commissioning Charges</t>
  </si>
  <si>
    <t>GST Itemized</t>
  </si>
  <si>
    <t>TOTAL</t>
  </si>
  <si>
    <t>This Sheet provide details of Plant &amp; Machinary, including Capacity, rate per machaine, Power Consuption and total amount</t>
  </si>
  <si>
    <t>Furniture and Fixture</t>
  </si>
  <si>
    <t>Office Furniture</t>
  </si>
  <si>
    <t>This Sheet provide details of furniture and fixture, no.of Quantity, rate per unit and total amount</t>
  </si>
  <si>
    <t>IT &amp; It Infrastracture</t>
  </si>
  <si>
    <t>IT &amp; IT Infrastructure</t>
  </si>
  <si>
    <t>Transport vehical  (Refer van and other)</t>
  </si>
  <si>
    <t>This Sheet provide details of vehicles, no.of vehicle, rate per vehicle and total amount</t>
  </si>
  <si>
    <t>Preliminary Expenses</t>
  </si>
  <si>
    <t>Amount  (Rs.)</t>
  </si>
  <si>
    <t>Lease Agreement Fees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</si>
  <si>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</si>
  <si>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</si>
  <si>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</si>
  <si>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</si>
  <si>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</si>
  <si>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</si>
  <si>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</si>
  <si>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</si>
  <si>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</si>
  <si>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</si>
  <si>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</si>
  <si>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</si>
  <si>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</si>
  <si>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</si>
  <si>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</si>
  <si>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</si>
  <si>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</si>
  <si>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</si>
  <si>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</si>
  <si>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</si>
  <si>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</si>
  <si>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</si>
  <si>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</si>
  <si>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</si>
  <si>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</si>
  <si>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5.2.2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</si>
  <si>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</si>
  <si>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</si>
  <si>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</si>
  <si>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</si>
  <si>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</si>
  <si>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</si>
  <si>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</si>
  <si>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</si>
  <si>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</si>
  <si>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</si>
  <si>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</si>
  <si>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</si>
  <si>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</si>
  <si>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</si>
  <si>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</si>
  <si>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</si>
  <si>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</si>
  <si>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</si>
  <si>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</si>
  <si>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</si>
  <si>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</si>
  <si>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</si>
  <si>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</si>
  <si>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</si>
  <si>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</si>
  <si>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5.2.3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</si>
  <si>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</si>
  <si>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</si>
  <si>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</si>
  <si>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</si>
  <si>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</si>
  <si>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</si>
  <si>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</si>
  <si>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</si>
  <si>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</si>
  <si>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</si>
  <si>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5.2.4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</si>
  <si>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</si>
  <si>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</si>
  <si>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</si>
  <si>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</si>
  <si>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</si>
  <si>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</si>
  <si>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</si>
  <si>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</si>
  <si>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</si>
  <si>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</si>
  <si>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</si>
  <si>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</si>
  <si>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</si>
  <si>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</si>
  <si>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</si>
  <si>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</si>
  <si>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</si>
  <si>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</si>
  <si>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</si>
  <si>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</si>
  <si>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</si>
  <si>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</si>
  <si>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</si>
  <si>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</si>
  <si>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</si>
  <si>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</si>
  <si>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</si>
  <si>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</si>
  <si>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</si>
  <si>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</si>
  <si>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</si>
  <si>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</si>
  <si>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</si>
  <si>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</si>
  <si>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</si>
  <si>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</si>
  <si>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</si>
  <si>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</si>
  <si>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</si>
  <si>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</si>
  <si>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</si>
  <si>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</si>
  <si>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</si>
  <si>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</si>
  <si>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</si>
  <si>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</si>
  <si>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</si>
  <si>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</si>
  <si>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</si>
  <si>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</si>
  <si>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</si>
  <si>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</si>
  <si>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</si>
  <si>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</si>
  <si>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</si>
  <si>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</si>
  <si>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</si>
  <si>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</si>
  <si>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</si>
  <si>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</si>
  <si>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</si>
  <si>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</si>
  <si>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</si>
  <si>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</si>
  <si>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</si>
  <si>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</si>
  <si>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</si>
  <si>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</si>
  <si>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</si>
  <si>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</si>
  <si>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</si>
  <si>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</si>
  <si>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</si>
  <si>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</si>
  <si>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</si>
  <si>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</si>
  <si>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</si>
  <si>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</si>
  <si>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</si>
  <si>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</si>
  <si>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</si>
  <si>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</si>
  <si>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</si>
  <si>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</si>
  <si>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</si>
  <si>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</si>
  <si>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</si>
  <si>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</si>
  <si>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</si>
  <si>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</si>
  <si>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</si>
  <si>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</si>
  <si>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</si>
  <si>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</si>
  <si>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</si>
  <si>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</si>
  <si>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</si>
  <si>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</si>
  <si>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</si>
  <si>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</si>
  <si>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</si>
  <si>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</si>
  <si>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</si>
  <si>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</si>
  <si>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</si>
  <si>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</si>
  <si>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</si>
  <si>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</si>
  <si>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</si>
  <si>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</si>
  <si>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</si>
  <si>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</si>
  <si>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</si>
  <si>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</si>
  <si>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</si>
  <si>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</si>
  <si>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</si>
  <si>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</si>
  <si>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Grain Processing-Cleaning, Grading &amp; Sorting</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</si>
  <si>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</si>
  <si>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</si>
  <si>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</si>
  <si>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</si>
  <si>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</si>
  <si>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</si>
  <si>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</si>
  <si>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</si>
  <si>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</si>
  <si>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</si>
  <si>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Custom Hiring</t>
  </si>
  <si>
    <t>Trading Activity</t>
  </si>
  <si>
    <t>Warehouse</t>
  </si>
  <si>
    <t>Processing Unit - Horti Commodity</t>
  </si>
  <si>
    <t>C</t>
  </si>
  <si>
    <t>Accounts Payable &amp; Accrued Expenses (Creditors)</t>
  </si>
  <si>
    <t>D</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</si>
  <si>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</si>
  <si>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</si>
  <si>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30 Days</t>
  </si>
  <si>
    <t>Company will receive credit from suppliers for 30 days</t>
  </si>
  <si>
    <t>25 % of Working Capital will be financed by the company and balance 75% from bank finance at 12% rate of interest</t>
  </si>
  <si>
    <t>5.2.6 Consolidated Profit and loss account for the Project</t>
  </si>
  <si>
    <t>Revenue</t>
  </si>
  <si>
    <t>Faclitiy 1 - Trading Activity</t>
  </si>
  <si>
    <t>Faclitiy 2 - Processing Unit- Cleaning, Grading</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</si>
  <si>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</si>
  <si>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</si>
  <si>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</si>
  <si>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</si>
  <si>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</si>
  <si>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</si>
  <si>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</si>
  <si>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</si>
  <si>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</si>
  <si>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</si>
  <si>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</si>
  <si>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</si>
  <si>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</si>
  <si>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</si>
  <si>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</si>
  <si>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</si>
  <si>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</si>
  <si>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</si>
  <si>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</si>
  <si>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</si>
  <si>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5.2.8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</si>
  <si>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</si>
  <si>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</si>
  <si>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</si>
  <si>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</si>
  <si>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</si>
  <si>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</si>
  <si>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</si>
  <si>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</si>
  <si>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</si>
  <si>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</si>
  <si>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</si>
  <si>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</si>
  <si>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</si>
  <si>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</si>
  <si>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</si>
  <si>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</si>
  <si>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</si>
  <si>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</si>
  <si>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</si>
  <si>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</si>
  <si>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</si>
  <si>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</si>
  <si>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</si>
  <si>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</si>
  <si>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</si>
  <si>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</si>
  <si>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</si>
  <si>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</si>
  <si>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</si>
  <si>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</si>
  <si>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</si>
  <si>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5.2.7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</si>
  <si>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</si>
  <si>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</si>
  <si>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</si>
  <si>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</si>
  <si>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</si>
  <si>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</si>
  <si>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</si>
  <si>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</si>
  <si>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</si>
  <si>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</si>
  <si>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</si>
  <si>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</si>
  <si>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</si>
  <si>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</si>
  <si>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</si>
  <si>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</si>
  <si>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</si>
  <si>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</si>
  <si>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</si>
  <si>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</si>
  <si>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</si>
  <si>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</si>
  <si>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</si>
  <si>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</si>
  <si>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</si>
  <si>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</si>
  <si>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</si>
  <si>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</si>
  <si>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</si>
  <si>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</si>
  <si>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</si>
  <si>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</si>
  <si>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</si>
  <si>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</si>
  <si>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</si>
  <si>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rFont val="Times New Roman"/>
        <b/>
        <color rgb="FF000000"/>
        <sz val="11.0"/>
      </rPr>
      <t>Add</t>
    </r>
    <r>
      <rPr>
        <rFont val="Times New Roman"/>
        <b val="0"/>
        <color rgb="FF000000"/>
        <sz val="11.0"/>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</si>
  <si>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</si>
  <si>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</si>
  <si>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</si>
  <si>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</si>
  <si>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</si>
  <si>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</si>
  <si>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</si>
  <si>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</si>
  <si>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</si>
  <si>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</si>
  <si>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</si>
  <si>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</si>
  <si>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</si>
  <si>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</si>
  <si>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</si>
  <si>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</si>
  <si>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</si>
  <si>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</si>
  <si>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</si>
  <si>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</si>
  <si>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</si>
  <si>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</si>
  <si>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</si>
  <si>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</si>
  <si>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</si>
  <si>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</si>
  <si>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</si>
  <si>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</si>
  <si>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</si>
  <si>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</si>
  <si>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</si>
  <si>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</si>
  <si>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</si>
  <si>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</si>
  <si>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</si>
  <si>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</si>
  <si>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</si>
  <si>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</si>
  <si>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</si>
  <si>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</si>
  <si>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</si>
  <si>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</si>
  <si>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</si>
  <si>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</si>
  <si>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</si>
  <si>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</si>
  <si>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</si>
  <si>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</si>
  <si>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</si>
  <si>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</si>
  <si>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</si>
  <si>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</si>
  <si>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</si>
  <si>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</si>
  <si>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</si>
  <si>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</si>
  <si>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</si>
  <si>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</si>
  <si>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</si>
  <si>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</si>
  <si>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</si>
  <si>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</si>
  <si>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</si>
  <si>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</si>
  <si>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</si>
  <si>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</si>
  <si>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</si>
  <si>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</si>
  <si>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</si>
  <si>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</si>
  <si>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</si>
  <si>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</si>
  <si>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</si>
  <si>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</si>
  <si>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</si>
  <si>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</si>
  <si>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</si>
  <si>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</si>
  <si>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</si>
  <si>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</si>
  <si>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</si>
  <si>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Redgram</t>
  </si>
  <si>
    <t>Turmeric</t>
  </si>
  <si>
    <t>Bengalgram</t>
  </si>
  <si>
    <t>Channa</t>
  </si>
  <si>
    <t>Udid</t>
  </si>
  <si>
    <t>Bajra</t>
  </si>
  <si>
    <t>Jawar</t>
  </si>
  <si>
    <t>Area Under Rabbi Cultivation ( In Acres)</t>
  </si>
  <si>
    <t>Rabbi</t>
  </si>
  <si>
    <t>Wheat</t>
  </si>
  <si>
    <t>Maize</t>
  </si>
  <si>
    <t>Safflower</t>
  </si>
  <si>
    <t>Groundnut</t>
  </si>
  <si>
    <t>Area Under Summer Cultivation ( In Acres)</t>
  </si>
  <si>
    <t>Summer</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</si>
  <si>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</si>
  <si>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</si>
  <si>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</si>
  <si>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</si>
  <si>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</si>
  <si>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30% of total produce of the cluster will be trade in first year and it will increase everyear year by 5 %</t>
  </si>
  <si>
    <t>10% of total produce of the cluster will be Process in first year and it will increase everyear year by 5 %</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</si>
  <si>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</si>
  <si>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</si>
  <si>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</si>
  <si>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</si>
  <si>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</si>
  <si>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</si>
  <si>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</si>
  <si>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</si>
  <si>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</si>
  <si>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</si>
  <si>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</si>
  <si>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</si>
  <si>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</si>
  <si>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</si>
  <si>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</si>
  <si>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</si>
  <si>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</si>
  <si>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</si>
  <si>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</si>
  <si>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</si>
  <si>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</si>
  <si>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</si>
  <si>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</si>
  <si>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</si>
  <si>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</si>
  <si>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</si>
  <si>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</si>
  <si>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</si>
  <si>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</si>
  <si>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</si>
  <si>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</si>
  <si>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</si>
  <si>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</si>
  <si>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</si>
  <si>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</si>
  <si>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</si>
  <si>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</si>
  <si>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</si>
  <si>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</si>
  <si>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</si>
  <si>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</si>
  <si>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</si>
  <si>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</si>
  <si>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</si>
  <si>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</si>
  <si>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</si>
  <si>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</si>
  <si>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Labour</t>
  </si>
  <si>
    <t>Electricity Charges</t>
  </si>
  <si>
    <t>Gunny Bags/100 Kg</t>
  </si>
  <si>
    <t>Transporation Cost/100 Kg</t>
  </si>
  <si>
    <t>Add: Opening Stock</t>
  </si>
  <si>
    <t>Less: Closing Stock</t>
  </si>
  <si>
    <t>Salaries to Staff</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</si>
  <si>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</si>
  <si>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</si>
  <si>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</si>
  <si>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</si>
  <si>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</si>
  <si>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</si>
  <si>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</si>
  <si>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Cleaning, Grading Unit</t>
  </si>
  <si>
    <t>13.1 Producers/ Capacity Utilization</t>
  </si>
  <si>
    <t>Qtls P Hour</t>
  </si>
  <si>
    <t>OR 6 Tons/Per Hours</t>
  </si>
  <si>
    <t>No. of Operation Days</t>
  </si>
  <si>
    <t>Total Quantity to be Processed</t>
  </si>
  <si>
    <t>Quanity for Processing and Trading for PC</t>
  </si>
  <si>
    <t>Output (KG)</t>
  </si>
  <si>
    <t>Dal (80%)</t>
  </si>
  <si>
    <t>Husk and Powder</t>
  </si>
  <si>
    <t>Packaging (In Kg)</t>
  </si>
  <si>
    <t>13.2 Facility 2 - Profit and loss of Grain Processing Unit - Cleaning, Grading and Sorting Unit</t>
  </si>
  <si>
    <t>Pulses</t>
  </si>
  <si>
    <t>1 Kg</t>
  </si>
  <si>
    <t>Kg</t>
  </si>
  <si>
    <t xml:space="preserve">Daily Labour </t>
  </si>
  <si>
    <t>Loading/Unloading Charges</t>
  </si>
  <si>
    <t>packaging Exp</t>
  </si>
  <si>
    <t>Transportation Charges</t>
  </si>
  <si>
    <t>Machine Operator</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</si>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</sst>
</file>

<file path=xl/styles.xml><?xml version="1.0" encoding="utf-8"?>
<styleSheet xmlns="http://schemas.openxmlformats.org/spreadsheetml/2006/main" xmlns:x14ac="http://schemas.microsoft.com/office/spreadsheetml/2009/9/ac" xmlns:mc="http://schemas.openxmlformats.org/markup-compatibility/2006">
  <numFmts count="13">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 #,##0.00_ ;_ * \-#,##0.00_ ;_ * &quot;-&quot;??_ ;_ @_ "/>
    <numFmt numFmtId="172" formatCode="_(* #,##0.0000_);_(* \(#,##0.0000\);_(* &quot;-&quot;??_);_(@_)"/>
    <numFmt numFmtId="173" formatCode="_(* #,##0.00_);_(* \(#,##0.00\);_(* &quot;-&quot;??_);_(@_)"/>
    <numFmt numFmtId="174" formatCode="_ * #,##0_ ;_ * \-#,##0_ ;_ * &quot;-&quot;??_ ;_ @_ "/>
    <numFmt numFmtId="175" formatCode="_ * #,##0.0_ ;_ * \-#,##0.0_ ;_ * &quot;-&quot;??_ ;_ @_ "/>
    <numFmt numFmtId="176" formatCode="0.0%"/>
  </numFmts>
  <fonts count="58">
    <font>
      <sz val="11.0"/>
      <color/>
      <name val="Arial"/>
      <scheme val="minor"/>
    </font>
    <font>
      <b/>
      <sz val="24.0"/>
      <color/>
      <name val="Calibri"/>
    </font>
    <font/>
    <font>
      <sz val="11.0"/>
      <color/>
      <name val="Calibri"/>
    </font>
    <font>
      <b/>
      <u/>
      <sz val="18.0"/>
      <color/>
      <name val="Calibri"/>
    </font>
    <font>
      <b/>
      <sz val="18.0"/>
      <color/>
      <name val="Calibri"/>
    </font>
    <font>
      <b/>
      <sz val="11.0"/>
      <color/>
      <name val="Calibri"/>
    </font>
    <font>
      <b/>
      <sz val="11.0"/>
      <color rgb="FFC00000"/>
      <name val="Calibri"/>
    </font>
    <font>
      <b/>
      <sz val="16.0"/>
      <color/>
      <name val="Calibri"/>
    </font>
    <font>
      <b/>
      <u/>
      <sz val="20.0"/>
      <color/>
      <name val="Calibri"/>
    </font>
    <font>
      <b/>
      <sz val="14.0"/>
      <color/>
      <name val="Times New Roman"/>
    </font>
    <font>
      <b/>
      <u/>
      <sz val="12.0"/>
      <color/>
      <name val="Calibri"/>
    </font>
    <font>
      <b/>
      <sz val="10.0"/>
      <color rgb="FFFFFFFF"/>
      <name val="Times New Roman"/>
    </font>
    <font>
      <sz val="10.0"/>
      <color rgb="FF000000"/>
      <name val="Times New Roman"/>
    </font>
    <font>
      <sz val="10.0"/>
      <color/>
      <name val="Calibri"/>
    </font>
    <font>
      <b/>
      <sz val="10.0"/>
      <color rgb="FF000000"/>
      <name val="Times New Roman"/>
    </font>
    <font>
      <b/>
      <sz val="8.0"/>
      <name val="Inherit"/>
    </font>
    <font>
      <sz val="11.0"/>
      <color rgb="FF000000"/>
      <name val="Garamond"/>
    </font>
    <font>
      <b/>
      <sz val="11.0"/>
      <color rgb="FFFFFFFF"/>
      <name val="Times New Roman"/>
    </font>
    <font>
      <sz val="11.0"/>
      <name val="Times New Roman"/>
    </font>
    <font>
      <sz val="11.0"/>
      <color/>
      <name val="Times New Roman"/>
    </font>
    <font>
      <b/>
      <sz val="11.0"/>
      <color/>
      <name val="Times New Roman"/>
    </font>
    <font>
      <sz val="11.0"/>
      <color rgb="FF000000"/>
      <name val="Times New Roman"/>
    </font>
    <font>
      <b/>
      <sz val="11.0"/>
      <color rgb="FF000000"/>
      <name val="Times New Roman"/>
    </font>
    <font>
      <b/>
      <u/>
      <sz val="11.0"/>
      <color rgb="FF000000"/>
      <name val="Times New Roman"/>
    </font>
    <font>
      <b/>
      <sz val="11.0"/>
      <color rgb="FFFFFFFF"/>
      <name val="Garamond"/>
    </font>
    <font>
      <b/>
      <sz val="11.0"/>
      <color rgb="FF000000"/>
      <name val="Garamond"/>
    </font>
    <font>
      <b/>
      <sz val="11.0"/>
      <color rgb="FF202124"/>
      <name val="Garamond"/>
    </font>
    <font>
      <b/>
      <sz val="11.0"/>
      <name val="Calibri"/>
    </font>
    <font>
      <b/>
      <sz val="14.0"/>
      <name val="Times New Roman"/>
    </font>
    <font>
      <b/>
      <u/>
      <sz val="11.0"/>
      <color rgb="FF000000"/>
      <name val="Times New Roman"/>
    </font>
    <font>
      <b/>
      <i/>
      <sz val="11.0"/>
      <color rgb="FF000000"/>
      <name val="Times New Roman"/>
    </font>
    <font>
      <b/>
      <sz val="11.0"/>
      <name val="Times New Roman"/>
    </font>
    <font>
      <sz val="11.0"/>
      <name val="Calibri"/>
    </font>
    <font>
      <b/>
      <u/>
      <sz val="11.0"/>
      <color rgb="FF0000FF"/>
      <name val="Calibri"/>
    </font>
    <font>
      <sz val="11.0"/>
      <color rgb="FF000000"/>
      <name val="Calibri"/>
    </font>
    <font>
      <b/>
      <sz val="8.0"/>
      <color rgb="FF202124"/>
      <name val="Arial"/>
    </font>
    <font>
      <b/>
      <sz val="9.0"/>
      <name val="Arial"/>
    </font>
    <font>
      <b/>
      <sz val="11.0"/>
      <color rgb="FF272727"/>
      <name val="Garamond"/>
    </font>
    <font>
      <sz val="10.0"/>
      <color rgb="FF424142"/>
      <name val="Georgia"/>
    </font>
    <font>
      <b/>
      <sz val="11.0"/>
      <color rgb="FF003366"/>
      <name val="Times New Roman"/>
    </font>
    <font>
      <b/>
      <u/>
      <sz val="11.0"/>
      <name val="Times New Roman"/>
    </font>
    <font>
      <sz val="11.0"/>
      <color rgb="FF008000"/>
      <name val="Times New Roman"/>
    </font>
    <font>
      <b/>
      <u/>
      <sz val="11.0"/>
      <color rgb="FF993300"/>
      <name val="Times New Roman"/>
    </font>
    <font>
      <sz val="11.0"/>
      <color rgb="FF993300"/>
      <name val="Times New Roman"/>
    </font>
    <font>
      <b/>
      <sz val="11.0"/>
      <color rgb="FF993300"/>
      <name val="Times New Roman"/>
    </font>
    <font>
      <b/>
      <sz val="11.0"/>
      <color rgb="FF222222"/>
      <name val="Garamond"/>
    </font>
    <font>
      <b/>
      <sz val="14.0"/>
      <color rgb="FF000000"/>
      <name val="Times New Roman"/>
    </font>
    <font>
      <sz val="13.0"/>
      <color rgb="FF000000"/>
      <name val="Times New Roman"/>
    </font>
    <font>
      <sz val="12.0"/>
      <color/>
      <name val="Times New Roman"/>
    </font>
    <font>
      <sz val="12.0"/>
      <color rgb="FFFF0000"/>
      <name val="Times New Roman"/>
    </font>
    <font>
      <sz val="13.0"/>
      <name val="Times New Roman"/>
    </font>
    <font>
      <b/>
      <u/>
      <sz val="11.0"/>
      <color rgb="FF0000FF"/>
      <name val="Garamond"/>
    </font>
    <font>
      <b/>
      <sz val="11.0"/>
      <color rgb="FF202122"/>
      <name val="Garamond"/>
    </font>
    <font>
      <b/>
      <sz val="12.0"/>
      <color/>
      <name val="Times New Roman"/>
    </font>
    <font>
      <sz val="12.0"/>
      <color rgb="FF000000"/>
      <name val="Times New Roman"/>
    </font>
    <font>
      <sz val="12.0"/>
      <name val="Times New Roman"/>
    </font>
    <font>
      <b/>
      <sz val="11.0"/>
      <color rgb="FF111111"/>
      <name val="Garamond"/>
    </font>
  </fonts>
  <fills count="11">
    <fill>
      <patternFill patternType="none"/>
    </fill>
    <fill>
      <patternFill patternType="lightGray"/>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s>
  <borders count="37">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bottom/>
    </border>
    <border>
      <left/>
      <right style="thin">
        <color rgb="FF000000"/>
      </right>
      <top/>
      <bottom/>
    </border>
    <border>
      <left style="thin">
        <color rgb="FF000000"/>
      </left>
      <top/>
      <bottom style="thin">
        <color rgb="FF000000"/>
      </bottom>
    </border>
    <border>
      <right/>
      <top/>
      <bottom style="thin">
        <color rgb="FF000000"/>
      </bottom>
    </border>
    <border>
      <left/>
      <top/>
      <bottom/>
    </border>
    <border>
      <top/>
      <bottom/>
    </border>
    <border>
      <right/>
      <top/>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right/>
      <top/>
      <bottom/>
    </border>
    <border>
      <left style="thin">
        <color rgb="FF000000"/>
      </left>
    </border>
    <border>
      <right style="medium">
        <color rgb="FF000000"/>
      </right>
    </border>
    <border>
      <left/>
      <top/>
      <bottom style="thin">
        <color rgb="FF000000"/>
      </bottom>
    </border>
    <border>
      <top/>
      <bottom style="thin">
        <color rgb="FF000000"/>
      </bottom>
    </border>
    <border>
      <left style="thin">
        <color rgb="FF000000"/>
      </left>
      <right style="thin">
        <color rgb="FF000000"/>
      </right>
      <top/>
    </border>
    <border>
      <left style="medium">
        <color rgb="FF000000"/>
      </left>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bottom/>
    </border>
    <border>
      <left style="thin">
        <color rgb="FF000000"/>
      </left>
      <bottom style="thin">
        <color rgb="FF000000"/>
      </bottom>
    </border>
  </borders>
  <cellStyleXfs count="1">
    <xf borderId="0" fillId="0" fontId="0" numFmtId="0" applyAlignment="1" applyFont="1"/>
  </cellStyleXfs>
  <cellXfs count="373">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1" fillId="0" fontId="2" numFmtId="0" xfId="0" applyBorder="1" applyFont="1"/>
    <xf borderId="0" fillId="0" fontId="3" numFmtId="0" xfId="0" applyAlignment="1" applyFont="1">
      <alignment shrinkToFit="0" vertical="center" wrapText="1"/>
    </xf>
    <xf borderId="2" fillId="2" fontId="4" numFmtId="0" xfId="0" applyAlignment="1" applyBorder="1" applyFill="1" applyFont="1">
      <alignment horizontal="center" shrinkToFit="0" vertical="center" wrapText="1"/>
    </xf>
    <xf borderId="3" fillId="0" fontId="2" numFmtId="0" xfId="0" applyBorder="1" applyFont="1"/>
    <xf borderId="4" fillId="0" fontId="2" numFmtId="0" xfId="0" applyBorder="1" applyFont="1"/>
    <xf borderId="2" fillId="3" fontId="5" numFmtId="0" xfId="0" applyAlignment="1" applyBorder="1" applyFill="1" applyFont="1">
      <alignment horizontal="left" shrinkToFit="0" vertical="center" wrapText="1"/>
    </xf>
    <xf borderId="2" fillId="0" fontId="3" numFmtId="0" xfId="0" applyAlignment="1" applyBorder="1" applyFont="1">
      <alignment horizontal="left" shrinkToFit="0" vertical="center" wrapText="1"/>
    </xf>
    <xf borderId="2" fillId="4" fontId="5" numFmtId="0" xfId="0" applyAlignment="1" applyBorder="1" applyFill="1" applyFont="1">
      <alignment horizontal="left" shrinkToFit="0" vertical="center" wrapText="1"/>
    </xf>
    <xf borderId="5" fillId="5" fontId="3" numFmtId="0" xfId="0" applyAlignment="1" applyBorder="1" applyFill="1" applyFont="1">
      <alignment shrinkToFit="0" vertical="center" wrapText="1"/>
    </xf>
    <xf borderId="2" fillId="0" fontId="6" numFmtId="0" xfId="0" applyAlignment="1" applyBorder="1" applyFont="1">
      <alignment horizontal="left" shrinkToFit="0" vertical="center" wrapText="1"/>
    </xf>
    <xf borderId="5" fillId="6" fontId="3" numFmtId="0" xfId="0" applyAlignment="1" applyBorder="1" applyFill="1" applyFont="1">
      <alignment shrinkToFit="0" vertical="center" wrapText="1"/>
    </xf>
    <xf borderId="3" fillId="0" fontId="3" numFmtId="0" xfId="0" applyAlignment="1" applyBorder="1" applyFont="1">
      <alignment horizontal="center" shrinkToFit="0" vertical="center" wrapText="1"/>
    </xf>
    <xf borderId="6" fillId="0" fontId="6" numFmtId="0" xfId="0" applyAlignment="1" applyBorder="1" applyFont="1">
      <alignment shrinkToFit="0" vertical="center" wrapText="1"/>
    </xf>
    <xf borderId="6" fillId="7" fontId="6" numFmtId="0" xfId="0" applyAlignment="1" applyBorder="1" applyFill="1" applyFont="1">
      <alignment shrinkToFit="0" vertical="center" wrapText="1"/>
    </xf>
    <xf borderId="6" fillId="0" fontId="7" numFmtId="0" xfId="0" applyAlignment="1" applyBorder="1" applyFont="1">
      <alignment shrinkToFit="0" vertical="center" wrapText="1"/>
    </xf>
    <xf borderId="6" fillId="0" fontId="3" numFmtId="0" xfId="0" applyAlignment="1" applyBorder="1" applyFont="1">
      <alignment shrinkToFit="0" vertical="center" wrapText="1"/>
    </xf>
    <xf borderId="7" fillId="0" fontId="3" numFmtId="0" xfId="0" applyAlignment="1" applyBorder="1" applyFont="1">
      <alignment shrinkToFit="0" vertical="center" wrapText="1"/>
    </xf>
    <xf borderId="8" fillId="0" fontId="3" numFmtId="0" xfId="0" applyAlignment="1" applyBorder="1" applyFont="1">
      <alignment horizontal="left" shrinkToFit="0" vertical="center" wrapText="1"/>
    </xf>
    <xf borderId="7" fillId="0" fontId="2" numFmtId="0" xfId="0" applyBorder="1" applyFont="1"/>
    <xf borderId="9" fillId="0" fontId="2" numFmtId="0" xfId="0" applyBorder="1" applyFont="1"/>
    <xf borderId="10" fillId="7" fontId="6" numFmtId="0" xfId="0" applyAlignment="1" applyBorder="1" applyFont="1">
      <alignment shrinkToFit="0" vertical="center" wrapText="1"/>
    </xf>
    <xf borderId="6" fillId="0" fontId="3" numFmtId="0" xfId="0" applyAlignment="1" applyBorder="1" applyFont="1">
      <alignment horizontal="center" shrinkToFit="0" vertical="center" wrapText="1"/>
    </xf>
    <xf borderId="0" fillId="0" fontId="8" numFmtId="0" xfId="0" applyAlignment="1" applyFont="1">
      <alignment horizontal="left" shrinkToFit="0" vertical="center" wrapText="1"/>
    </xf>
    <xf borderId="0" fillId="0" fontId="9" numFmtId="0" xfId="0" applyFont="1"/>
    <xf borderId="0" fillId="0" fontId="10" numFmtId="0" xfId="0" applyAlignment="1" applyFont="1">
      <alignment horizontal="center"/>
    </xf>
    <xf borderId="0" fillId="0" fontId="11" numFmtId="0" xfId="0" applyAlignment="1" applyFont="1">
      <alignment horizontal="center"/>
    </xf>
    <xf borderId="6" fillId="8" fontId="12" numFmtId="0" xfId="0" applyAlignment="1" applyBorder="1" applyFill="1" applyFont="1">
      <alignment horizontal="center" shrinkToFit="0" vertical="center" wrapText="1"/>
    </xf>
    <xf borderId="11" fillId="8" fontId="12" numFmtId="0" xfId="0" applyAlignment="1" applyBorder="1" applyFont="1">
      <alignment horizontal="center" shrinkToFit="0" vertical="center" wrapText="1"/>
    </xf>
    <xf borderId="6" fillId="0" fontId="13" numFmtId="0" xfId="0" applyAlignment="1" applyBorder="1" applyFont="1">
      <alignment horizontal="right" shrinkToFit="0" vertical="center" wrapText="1"/>
    </xf>
    <xf borderId="6" fillId="0" fontId="13" numFmtId="0" xfId="0" applyAlignment="1" applyBorder="1" applyFont="1">
      <alignment shrinkToFit="0" vertical="center" wrapText="1"/>
    </xf>
    <xf borderId="6" fillId="0" fontId="13" numFmtId="164" xfId="0" applyAlignment="1" applyBorder="1" applyFont="1" applyNumberFormat="1">
      <alignment shrinkToFit="0" vertical="center" wrapText="1"/>
    </xf>
    <xf borderId="6" fillId="6" fontId="14" numFmtId="9" xfId="0" applyBorder="1" applyFont="1" applyNumberFormat="1"/>
    <xf borderId="6" fillId="0" fontId="14" numFmtId="164" xfId="0" applyBorder="1" applyFont="1" applyNumberFormat="1"/>
    <xf borderId="6" fillId="0" fontId="14" numFmtId="0" xfId="0" applyBorder="1" applyFont="1"/>
    <xf borderId="2" fillId="0" fontId="15" numFmtId="0" xfId="0" applyAlignment="1" applyBorder="1" applyFont="1">
      <alignment horizontal="center" shrinkToFit="0" vertical="center" wrapText="1"/>
    </xf>
    <xf borderId="6" fillId="0" fontId="15" numFmtId="164" xfId="0" applyAlignment="1" applyBorder="1" applyFont="1" applyNumberFormat="1">
      <alignment horizontal="center" shrinkToFit="0" vertical="center" wrapText="1"/>
    </xf>
    <xf borderId="0" fillId="0" fontId="3" numFmtId="165" xfId="0" applyFont="1" applyNumberFormat="1"/>
    <xf borderId="0" fillId="0" fontId="16" numFmtId="0" xfId="0" applyAlignment="1" applyFont="1">
      <alignment horizontal="center" shrinkToFit="0" wrapText="1"/>
    </xf>
    <xf borderId="6" fillId="8" fontId="12" numFmtId="0" xfId="0" applyAlignment="1" applyBorder="1" applyFont="1">
      <alignment shrinkToFit="0" vertical="center" wrapText="1"/>
    </xf>
    <xf borderId="6" fillId="0" fontId="13" numFmtId="9" xfId="0" applyAlignment="1" applyBorder="1" applyFont="1" applyNumberFormat="1">
      <alignment horizontal="right" shrinkToFit="0" vertical="center" wrapText="1"/>
    </xf>
    <xf borderId="6" fillId="0" fontId="13" numFmtId="165" xfId="0" applyAlignment="1" applyBorder="1" applyFont="1" applyNumberFormat="1">
      <alignment horizontal="right" shrinkToFit="0" vertical="center" wrapText="1"/>
    </xf>
    <xf borderId="6" fillId="6" fontId="13" numFmtId="9" xfId="0" applyAlignment="1" applyBorder="1" applyFont="1" applyNumberFormat="1">
      <alignment horizontal="right" shrinkToFit="0" vertical="center" wrapText="1"/>
    </xf>
    <xf borderId="6" fillId="0" fontId="15" numFmtId="165" xfId="0" applyAlignment="1" applyBorder="1" applyFont="1" applyNumberFormat="1">
      <alignment horizontal="right" shrinkToFit="0" vertical="center" wrapText="1"/>
    </xf>
    <xf borderId="0" fillId="0" fontId="6" numFmtId="0" xfId="0" applyAlignment="1" applyFont="1">
      <alignment horizontal="center"/>
    </xf>
    <xf borderId="6" fillId="9" fontId="12" numFmtId="0" xfId="0" applyAlignment="1" applyBorder="1" applyFill="1" applyFont="1">
      <alignment shrinkToFit="0" vertical="center" wrapText="1"/>
    </xf>
    <xf borderId="6" fillId="9" fontId="12" numFmtId="0" xfId="0" applyAlignment="1" applyBorder="1" applyFont="1">
      <alignment vertical="center"/>
    </xf>
    <xf borderId="6" fillId="9" fontId="12" numFmtId="0" xfId="0" applyAlignment="1" applyBorder="1" applyFont="1">
      <alignment horizontal="center" vertical="center"/>
    </xf>
    <xf borderId="6" fillId="9" fontId="12" numFmtId="0" xfId="0" applyAlignment="1" applyBorder="1" applyFont="1">
      <alignment horizontal="center" shrinkToFit="0" vertical="center" wrapText="1"/>
    </xf>
    <xf borderId="12" fillId="9" fontId="12" numFmtId="0" xfId="0" applyAlignment="1" applyBorder="1" applyFont="1">
      <alignment horizontal="center" shrinkToFit="0" vertical="center" wrapText="1"/>
    </xf>
    <xf borderId="13" fillId="0" fontId="2" numFmtId="0" xfId="0" applyBorder="1" applyFont="1"/>
    <xf borderId="6" fillId="0" fontId="13" numFmtId="0" xfId="0" applyAlignment="1" applyBorder="1" applyFont="1">
      <alignment horizontal="center" shrinkToFit="0" vertical="center" wrapText="1"/>
    </xf>
    <xf borderId="6" fillId="0" fontId="13" numFmtId="10" xfId="0" applyAlignment="1" applyBorder="1" applyFont="1" applyNumberFormat="1">
      <alignment horizontal="center" shrinkToFit="0" vertical="center" wrapText="1"/>
    </xf>
    <xf borderId="6" fillId="0" fontId="13" numFmtId="0" xfId="0" applyAlignment="1" applyBorder="1" applyFont="1">
      <alignment horizontal="left" shrinkToFit="0" vertical="center" wrapText="1"/>
    </xf>
    <xf borderId="6" fillId="0" fontId="13" numFmtId="3" xfId="0" applyAlignment="1" applyBorder="1" applyFont="1" applyNumberFormat="1">
      <alignment horizontal="center" shrinkToFit="0" vertical="center" wrapText="1"/>
    </xf>
    <xf borderId="6" fillId="0" fontId="13" numFmtId="2" xfId="0" applyAlignment="1" applyBorder="1" applyFont="1" applyNumberFormat="1">
      <alignment horizontal="center" shrinkToFit="0" vertical="center" wrapText="1"/>
    </xf>
    <xf borderId="6" fillId="0" fontId="17" numFmtId="0" xfId="0" applyAlignment="1" applyBorder="1" applyFont="1">
      <alignment shrinkToFit="0" vertical="center" wrapText="1"/>
    </xf>
    <xf borderId="6" fillId="0" fontId="17" numFmtId="0" xfId="0" applyAlignment="1" applyBorder="1" applyFont="1">
      <alignment horizontal="center" shrinkToFit="0" vertical="center" wrapText="1"/>
    </xf>
    <xf borderId="0" fillId="0" fontId="6" numFmtId="0" xfId="0" applyFont="1"/>
    <xf borderId="6" fillId="8" fontId="18" numFmtId="0" xfId="0" applyAlignment="1" applyBorder="1" applyFont="1">
      <alignment horizontal="center" shrinkToFit="0" vertical="center" wrapText="1"/>
    </xf>
    <xf borderId="6" fillId="0" fontId="19" numFmtId="0" xfId="0" applyAlignment="1" applyBorder="1" applyFont="1">
      <alignment shrinkToFit="0" vertical="center" wrapText="1"/>
    </xf>
    <xf borderId="6" fillId="0" fontId="19" numFmtId="0" xfId="0" applyAlignment="1" applyBorder="1" applyFont="1">
      <alignment horizontal="right" shrinkToFit="0" vertical="center" wrapText="1"/>
    </xf>
    <xf borderId="6" fillId="0" fontId="19" numFmtId="166" xfId="0" applyAlignment="1" applyBorder="1" applyFont="1" applyNumberFormat="1">
      <alignment horizontal="right" shrinkToFit="0" vertical="center" wrapText="1"/>
    </xf>
    <xf borderId="6" fillId="0" fontId="20" numFmtId="0" xfId="0" applyAlignment="1" applyBorder="1" applyFont="1">
      <alignment shrinkToFit="0" vertical="center" wrapText="1"/>
    </xf>
    <xf borderId="6" fillId="0" fontId="19" numFmtId="164" xfId="0" applyAlignment="1" applyBorder="1" applyFont="1" applyNumberFormat="1">
      <alignment horizontal="left" shrinkToFit="0" vertical="center" wrapText="1"/>
    </xf>
    <xf borderId="6" fillId="0" fontId="19" numFmtId="164" xfId="0" applyAlignment="1" applyBorder="1" applyFont="1" applyNumberFormat="1">
      <alignment horizontal="right" shrinkToFit="0" vertical="center" wrapText="1"/>
    </xf>
    <xf borderId="6" fillId="0" fontId="19" numFmtId="164" xfId="0" applyAlignment="1" applyBorder="1" applyFont="1" applyNumberFormat="1">
      <alignment shrinkToFit="0" vertical="center" wrapText="1"/>
    </xf>
    <xf borderId="2" fillId="0" fontId="21" numFmtId="0" xfId="0" applyAlignment="1" applyBorder="1" applyFont="1">
      <alignment horizontal="center" shrinkToFit="0" vertical="center" wrapText="1"/>
    </xf>
    <xf borderId="6" fillId="0" fontId="21" numFmtId="165" xfId="0" applyAlignment="1" applyBorder="1" applyFont="1" applyNumberFormat="1">
      <alignment horizontal="right" shrinkToFit="0" vertical="center" wrapText="1"/>
    </xf>
    <xf borderId="0" fillId="0" fontId="3" numFmtId="0" xfId="0" applyAlignment="1" applyFont="1">
      <alignment horizontal="center"/>
    </xf>
    <xf borderId="6" fillId="5" fontId="22" numFmtId="0" xfId="0" applyAlignment="1" applyBorder="1" applyFont="1">
      <alignment horizontal="center" shrinkToFit="0" vertical="center" wrapText="1"/>
    </xf>
    <xf borderId="6" fillId="5" fontId="20" numFmtId="0" xfId="0" applyBorder="1" applyFont="1"/>
    <xf borderId="6" fillId="5" fontId="22" numFmtId="165" xfId="0" applyAlignment="1" applyBorder="1" applyFont="1" applyNumberFormat="1">
      <alignment horizontal="right" shrinkToFit="0" vertical="center" wrapText="1"/>
    </xf>
    <xf borderId="6" fillId="5" fontId="23" numFmtId="0" xfId="0" applyAlignment="1" applyBorder="1" applyFont="1">
      <alignment horizontal="center" shrinkToFit="0" vertical="center" wrapText="1"/>
    </xf>
    <xf borderId="6" fillId="5" fontId="23" numFmtId="0" xfId="0" applyAlignment="1" applyBorder="1" applyFont="1">
      <alignment shrinkToFit="0" vertical="center" wrapText="1"/>
    </xf>
    <xf borderId="6" fillId="5" fontId="23" numFmtId="164" xfId="0" applyAlignment="1" applyBorder="1" applyFont="1" applyNumberFormat="1">
      <alignment horizontal="right" shrinkToFit="0" vertical="center" wrapText="1"/>
    </xf>
    <xf borderId="6" fillId="5" fontId="21" numFmtId="0" xfId="0" applyBorder="1" applyFont="1"/>
    <xf borderId="2" fillId="5" fontId="23" numFmtId="0" xfId="0" applyAlignment="1" applyBorder="1" applyFont="1">
      <alignment horizontal="center" shrinkToFit="0" vertical="center" wrapText="1"/>
    </xf>
    <xf borderId="6" fillId="5" fontId="23" numFmtId="165" xfId="0" applyAlignment="1" applyBorder="1" applyFont="1" applyNumberFormat="1">
      <alignment horizontal="right" shrinkToFit="0" vertical="center" wrapText="1"/>
    </xf>
    <xf borderId="6" fillId="5" fontId="22" numFmtId="0" xfId="0" applyAlignment="1" applyBorder="1" applyFont="1">
      <alignment shrinkToFit="0" vertical="center" wrapText="1"/>
    </xf>
    <xf borderId="6" fillId="0" fontId="23" numFmtId="0" xfId="0" applyAlignment="1" applyBorder="1" applyFont="1">
      <alignment horizontal="center" shrinkToFit="0" vertical="center" wrapText="1"/>
    </xf>
    <xf borderId="6" fillId="0" fontId="23" numFmtId="0" xfId="0" applyAlignment="1" applyBorder="1" applyFont="1">
      <alignment shrinkToFit="0" vertical="center" wrapText="1"/>
    </xf>
    <xf borderId="6" fillId="0" fontId="22" numFmtId="0" xfId="0" applyAlignment="1" applyBorder="1" applyFont="1">
      <alignment horizontal="center" shrinkToFit="0" vertical="center" wrapText="1"/>
    </xf>
    <xf borderId="6" fillId="0" fontId="22" numFmtId="165" xfId="0" applyAlignment="1" applyBorder="1" applyFont="1" applyNumberFormat="1">
      <alignment horizontal="right" shrinkToFit="0" vertical="center" wrapText="1"/>
    </xf>
    <xf borderId="6" fillId="0" fontId="20" numFmtId="0" xfId="0" applyBorder="1" applyFont="1"/>
    <xf borderId="6" fillId="0" fontId="22" numFmtId="0" xfId="0" applyAlignment="1" applyBorder="1" applyFont="1">
      <alignment shrinkToFit="0" vertical="center" wrapText="1"/>
    </xf>
    <xf borderId="6" fillId="0" fontId="24" numFmtId="0" xfId="0" applyAlignment="1" applyBorder="1" applyFont="1">
      <alignment shrinkToFit="0" vertical="center" wrapText="1"/>
    </xf>
    <xf borderId="2" fillId="0" fontId="23" numFmtId="0" xfId="0" applyAlignment="1" applyBorder="1" applyFont="1">
      <alignment horizontal="center" shrinkToFit="0" vertical="center" wrapText="1"/>
    </xf>
    <xf borderId="6" fillId="0" fontId="23" numFmtId="165" xfId="0" applyAlignment="1" applyBorder="1" applyFont="1" applyNumberFormat="1">
      <alignment horizontal="right" shrinkToFit="0" vertical="center" wrapText="1"/>
    </xf>
    <xf borderId="0" fillId="0" fontId="3" numFmtId="166" xfId="0" applyFont="1" applyNumberFormat="1"/>
    <xf borderId="6" fillId="8" fontId="25" numFmtId="0" xfId="0" applyAlignment="1" applyBorder="1" applyFont="1">
      <alignment shrinkToFit="0" vertical="center" wrapText="1"/>
    </xf>
    <xf borderId="6" fillId="8" fontId="25" numFmtId="0" xfId="0" applyAlignment="1" applyBorder="1" applyFont="1">
      <alignment horizontal="center" shrinkToFit="0" vertical="center" wrapText="1"/>
    </xf>
    <xf borderId="6" fillId="0" fontId="17" numFmtId="165" xfId="0" applyAlignment="1" applyBorder="1" applyFont="1" applyNumberFormat="1">
      <alignment horizontal="center" shrinkToFit="0" vertical="center" wrapText="1"/>
    </xf>
    <xf borderId="6" fillId="0" fontId="17" numFmtId="165" xfId="0" applyAlignment="1" applyBorder="1" applyFont="1" applyNumberFormat="1">
      <alignment horizontal="right" shrinkToFit="0" vertical="center" wrapText="1"/>
    </xf>
    <xf borderId="2" fillId="0" fontId="26" numFmtId="0" xfId="0" applyAlignment="1" applyBorder="1" applyFont="1">
      <alignment horizontal="center" shrinkToFit="0" vertical="center" wrapText="1"/>
    </xf>
    <xf borderId="6" fillId="0" fontId="26" numFmtId="165" xfId="0" applyAlignment="1" applyBorder="1" applyFont="1" applyNumberFormat="1">
      <alignment horizontal="right" shrinkToFit="0" vertical="center" wrapText="1"/>
    </xf>
    <xf borderId="6" fillId="8" fontId="18" numFmtId="0" xfId="0" applyAlignment="1" applyBorder="1" applyFont="1">
      <alignment shrinkToFit="0" vertical="center" wrapText="1"/>
    </xf>
    <xf borderId="6" fillId="0" fontId="22" numFmtId="165" xfId="0" applyAlignment="1" applyBorder="1" applyFont="1" applyNumberFormat="1">
      <alignment horizontal="center" shrinkToFit="0" vertical="center" wrapText="1"/>
    </xf>
    <xf borderId="14" fillId="6" fontId="6" numFmtId="0" xfId="0" applyAlignment="1" applyBorder="1" applyFont="1">
      <alignment horizontal="center"/>
    </xf>
    <xf borderId="15" fillId="0" fontId="2" numFmtId="0" xfId="0" applyBorder="1" applyFont="1"/>
    <xf borderId="16" fillId="0" fontId="2" numFmtId="0" xfId="0" applyBorder="1" applyFont="1"/>
    <xf borderId="17" fillId="8" fontId="18" numFmtId="0" xfId="0" applyAlignment="1" applyBorder="1" applyFont="1">
      <alignment shrinkToFit="0" vertical="center" wrapText="1"/>
    </xf>
    <xf borderId="18" fillId="8" fontId="18" numFmtId="0" xfId="0" applyAlignment="1" applyBorder="1" applyFont="1">
      <alignment horizontal="center" shrinkToFit="0" vertical="center" wrapText="1"/>
    </xf>
    <xf borderId="19" fillId="0" fontId="22" numFmtId="0" xfId="0" applyAlignment="1" applyBorder="1" applyFont="1">
      <alignment horizontal="right" shrinkToFit="0" vertical="center" wrapText="1"/>
    </xf>
    <xf borderId="20" fillId="0" fontId="22" numFmtId="0" xfId="0" applyAlignment="1" applyBorder="1" applyFont="1">
      <alignment shrinkToFit="0" vertical="center" wrapText="1"/>
    </xf>
    <xf borderId="21" fillId="0" fontId="23" numFmtId="0" xfId="0" applyAlignment="1" applyBorder="1" applyFont="1">
      <alignment horizontal="center" shrinkToFit="0" vertical="center" wrapText="1"/>
    </xf>
    <xf borderId="22" fillId="0" fontId="2" numFmtId="0" xfId="0" applyBorder="1" applyFont="1"/>
    <xf borderId="20" fillId="0" fontId="23" numFmtId="165" xfId="0" applyAlignment="1" applyBorder="1" applyFont="1" applyNumberFormat="1">
      <alignment horizontal="right" shrinkToFit="0" vertical="center" wrapText="1"/>
    </xf>
    <xf borderId="0" fillId="0" fontId="27" numFmtId="0" xfId="0" applyAlignment="1" applyFont="1">
      <alignment horizontal="center" shrinkToFit="0" wrapText="1"/>
    </xf>
    <xf borderId="0" fillId="0" fontId="20" numFmtId="0" xfId="0" applyFont="1"/>
    <xf borderId="0" fillId="0" fontId="20" numFmtId="9" xfId="0" applyFont="1" applyNumberFormat="1"/>
    <xf borderId="0" fillId="0" fontId="20" numFmtId="10" xfId="0" applyFont="1" applyNumberFormat="1"/>
    <xf borderId="6" fillId="8" fontId="21" numFmtId="0" xfId="0" applyBorder="1" applyFont="1"/>
    <xf borderId="6" fillId="8" fontId="21" numFmtId="0" xfId="0" applyAlignment="1" applyBorder="1" applyFont="1">
      <alignment horizontal="center"/>
    </xf>
    <xf borderId="6" fillId="5" fontId="20" numFmtId="164" xfId="0" applyBorder="1" applyFont="1" applyNumberFormat="1"/>
    <xf borderId="6" fillId="0" fontId="20" numFmtId="164" xfId="0" applyBorder="1" applyFont="1" applyNumberFormat="1"/>
    <xf borderId="6" fillId="0" fontId="21" numFmtId="0" xfId="0" applyBorder="1" applyFont="1"/>
    <xf borderId="6" fillId="0" fontId="21" numFmtId="164" xfId="0" applyBorder="1" applyFont="1" applyNumberFormat="1"/>
    <xf borderId="0" fillId="0" fontId="28" numFmtId="0" xfId="0" applyAlignment="1" applyFont="1">
      <alignment horizontal="center"/>
    </xf>
    <xf borderId="0" fillId="0" fontId="29" numFmtId="0" xfId="0" applyAlignment="1" applyFont="1">
      <alignment horizontal="center"/>
    </xf>
    <xf borderId="0" fillId="0" fontId="3" numFmtId="0" xfId="0" applyFont="1"/>
    <xf borderId="1" fillId="0" fontId="21" numFmtId="0" xfId="0" applyAlignment="1" applyBorder="1" applyFont="1">
      <alignment horizontal="center"/>
    </xf>
    <xf borderId="1" fillId="0" fontId="6" numFmtId="0" xfId="0" applyAlignment="1" applyBorder="1" applyFont="1">
      <alignment horizontal="center"/>
    </xf>
    <xf borderId="6" fillId="8" fontId="23" numFmtId="0" xfId="0" applyBorder="1" applyFont="1"/>
    <xf borderId="6" fillId="8" fontId="21" numFmtId="0" xfId="0" applyAlignment="1" applyBorder="1" applyFont="1">
      <alignment horizontal="center" shrinkToFit="0" wrapText="1"/>
    </xf>
    <xf borderId="6" fillId="0" fontId="23" numFmtId="0" xfId="0" applyAlignment="1" applyBorder="1" applyFont="1">
      <alignment horizontal="center"/>
    </xf>
    <xf borderId="6" fillId="0" fontId="30" numFmtId="0" xfId="0" applyBorder="1" applyFont="1"/>
    <xf borderId="6" fillId="0" fontId="31" numFmtId="0" xfId="0" applyAlignment="1" applyBorder="1" applyFont="1">
      <alignment horizontal="center"/>
    </xf>
    <xf borderId="6" fillId="0" fontId="20" numFmtId="0" xfId="0" applyAlignment="1" applyBorder="1" applyFont="1">
      <alignment horizontal="left"/>
    </xf>
    <xf borderId="6" fillId="0" fontId="23" numFmtId="0" xfId="0" applyAlignment="1" applyBorder="1" applyFont="1">
      <alignment horizontal="left"/>
    </xf>
    <xf borderId="6" fillId="0" fontId="19" numFmtId="165" xfId="0" applyBorder="1" applyFont="1" applyNumberFormat="1"/>
    <xf borderId="6" fillId="0" fontId="21" numFmtId="0" xfId="0" applyAlignment="1" applyBorder="1" applyFont="1">
      <alignment horizontal="left"/>
    </xf>
    <xf borderId="6" fillId="0" fontId="32" numFmtId="165" xfId="0" applyBorder="1" applyFont="1" applyNumberFormat="1"/>
    <xf borderId="0" fillId="0" fontId="20" numFmtId="0" xfId="0" applyAlignment="1" applyFont="1">
      <alignment horizontal="left"/>
    </xf>
    <xf borderId="0" fillId="0" fontId="19" numFmtId="165" xfId="0" applyFont="1" applyNumberFormat="1"/>
    <xf borderId="23" fillId="10" fontId="23" numFmtId="0" xfId="0" applyAlignment="1" applyBorder="1" applyFill="1" applyFont="1">
      <alignment horizontal="left" shrinkToFit="0" wrapText="1"/>
    </xf>
    <xf borderId="0" fillId="0" fontId="23" numFmtId="0" xfId="0" applyAlignment="1" applyFont="1">
      <alignment horizontal="center"/>
    </xf>
    <xf borderId="0" fillId="0" fontId="23" numFmtId="0" xfId="0" applyFont="1"/>
    <xf borderId="0" fillId="0" fontId="23" numFmtId="0" xfId="0" applyAlignment="1" applyFont="1">
      <alignment shrinkToFit="0" wrapText="1"/>
    </xf>
    <xf borderId="0" fillId="0" fontId="20" numFmtId="0" xfId="0" applyAlignment="1" applyFont="1">
      <alignment shrinkToFit="0" wrapText="1"/>
    </xf>
    <xf borderId="0" fillId="0" fontId="22" numFmtId="10" xfId="0" applyFont="1" applyNumberFormat="1"/>
    <xf borderId="0" fillId="0" fontId="33" numFmtId="0" xfId="0" applyFont="1"/>
    <xf borderId="0" fillId="0" fontId="34" numFmtId="0" xfId="0" applyFont="1"/>
    <xf borderId="6" fillId="9" fontId="21" numFmtId="0" xfId="0" applyAlignment="1" applyBorder="1" applyFont="1">
      <alignment vertical="center"/>
    </xf>
    <xf borderId="6" fillId="9" fontId="21" numFmtId="0" xfId="0" applyAlignment="1" applyBorder="1" applyFont="1">
      <alignment horizontal="center" vertical="center"/>
    </xf>
    <xf borderId="6" fillId="9" fontId="20" numFmtId="165" xfId="0" applyAlignment="1" applyBorder="1" applyFont="1" applyNumberFormat="1">
      <alignment horizontal="center"/>
    </xf>
    <xf borderId="0" fillId="0" fontId="33" numFmtId="165" xfId="0" applyFont="1" applyNumberFormat="1"/>
    <xf borderId="6" fillId="0" fontId="32" numFmtId="0" xfId="0" applyAlignment="1" applyBorder="1" applyFont="1">
      <alignment vertical="center"/>
    </xf>
    <xf borderId="6" fillId="0" fontId="32" numFmtId="0" xfId="0" applyAlignment="1" applyBorder="1" applyFont="1">
      <alignment horizontal="center" vertical="center"/>
    </xf>
    <xf borderId="6" fillId="0" fontId="32" numFmtId="0" xfId="0" applyBorder="1" applyFont="1"/>
    <xf borderId="6" fillId="0" fontId="19" numFmtId="0" xfId="0" applyBorder="1" applyFont="1"/>
    <xf borderId="0" fillId="0" fontId="28" numFmtId="165" xfId="0" applyFont="1" applyNumberFormat="1"/>
    <xf borderId="0" fillId="0" fontId="28" numFmtId="38" xfId="0" applyAlignment="1" applyFont="1" applyNumberFormat="1">
      <alignment horizontal="left"/>
    </xf>
    <xf borderId="0" fillId="0" fontId="28" numFmtId="0" xfId="0" applyFont="1"/>
    <xf borderId="6" fillId="0" fontId="22" numFmtId="0" xfId="0" applyBorder="1" applyFont="1"/>
    <xf borderId="6" fillId="0" fontId="19" numFmtId="167" xfId="0" applyAlignment="1" applyBorder="1" applyFont="1" applyNumberFormat="1">
      <alignment vertical="center"/>
    </xf>
    <xf borderId="0" fillId="0" fontId="28" numFmtId="168" xfId="0" applyAlignment="1" applyFont="1" applyNumberFormat="1">
      <alignment vertical="center"/>
    </xf>
    <xf borderId="6" fillId="0" fontId="23" numFmtId="0" xfId="0" applyBorder="1" applyFont="1"/>
    <xf borderId="6" fillId="0" fontId="32" numFmtId="167" xfId="0" applyAlignment="1" applyBorder="1" applyFont="1" applyNumberFormat="1">
      <alignment vertical="center"/>
    </xf>
    <xf borderId="24" fillId="0" fontId="35" numFmtId="0" xfId="0" applyBorder="1" applyFont="1"/>
    <xf borderId="24" fillId="0" fontId="28" numFmtId="0" xfId="0" applyBorder="1" applyFont="1"/>
    <xf borderId="23" fillId="6" fontId="28" numFmtId="9" xfId="0" applyBorder="1" applyFont="1" applyNumberFormat="1"/>
    <xf borderId="0" fillId="0" fontId="28" numFmtId="0" xfId="0" applyAlignment="1" applyFont="1">
      <alignment horizontal="center" shrinkToFit="0" vertical="center" wrapText="1"/>
    </xf>
    <xf borderId="25" fillId="0" fontId="2" numFmtId="0" xfId="0" applyBorder="1" applyFont="1"/>
    <xf borderId="0" fillId="0" fontId="20" numFmtId="164" xfId="0" applyFont="1" applyNumberFormat="1"/>
    <xf borderId="23" fillId="6" fontId="20" numFmtId="9" xfId="0" applyBorder="1" applyFont="1" applyNumberFormat="1"/>
    <xf borderId="23" fillId="6" fontId="20" numFmtId="0" xfId="0" applyBorder="1" applyFont="1"/>
    <xf borderId="0" fillId="0" fontId="20" numFmtId="169" xfId="0" applyFont="1" applyNumberFormat="1"/>
    <xf borderId="0" fillId="0" fontId="20" numFmtId="168" xfId="0" applyFont="1" applyNumberFormat="1"/>
    <xf borderId="6" fillId="8" fontId="21" numFmtId="0" xfId="0" applyAlignment="1" applyBorder="1" applyFont="1">
      <alignment horizontal="right"/>
    </xf>
    <xf borderId="6" fillId="8" fontId="21" numFmtId="2" xfId="0" applyAlignment="1" applyBorder="1" applyFont="1" applyNumberFormat="1">
      <alignment horizontal="right"/>
    </xf>
    <xf borderId="0" fillId="0" fontId="3" numFmtId="2" xfId="0" applyFont="1" applyNumberFormat="1"/>
    <xf borderId="0" fillId="0" fontId="20" numFmtId="2" xfId="0" applyFont="1" applyNumberFormat="1"/>
    <xf borderId="0" fillId="0" fontId="6" numFmtId="0" xfId="0" applyAlignment="1" applyFont="1">
      <alignment horizontal="center" shrinkToFit="0" wrapText="1"/>
    </xf>
    <xf borderId="0" fillId="0" fontId="10" numFmtId="0" xfId="0" applyFont="1"/>
    <xf borderId="6" fillId="9" fontId="21" numFmtId="0" xfId="0" applyBorder="1" applyFont="1"/>
    <xf borderId="6" fillId="9" fontId="21" numFmtId="0" xfId="0" applyAlignment="1" applyBorder="1" applyFont="1">
      <alignment horizontal="center"/>
    </xf>
    <xf borderId="23" fillId="5" fontId="19" numFmtId="0" xfId="0" applyBorder="1" applyFont="1"/>
    <xf borderId="14" fillId="5" fontId="32" numFmtId="0" xfId="0" applyAlignment="1" applyBorder="1" applyFont="1">
      <alignment horizontal="center"/>
    </xf>
    <xf borderId="6" fillId="0" fontId="20" numFmtId="9" xfId="0" applyBorder="1" applyFont="1" applyNumberFormat="1"/>
    <xf borderId="26" fillId="5" fontId="32" numFmtId="0" xfId="0" applyAlignment="1" applyBorder="1" applyFont="1">
      <alignment horizontal="center"/>
    </xf>
    <xf borderId="27" fillId="0" fontId="2" numFmtId="0" xfId="0" applyBorder="1" applyFont="1"/>
    <xf borderId="6" fillId="5" fontId="32" numFmtId="0" xfId="0" applyBorder="1" applyFont="1"/>
    <xf borderId="6" fillId="9" fontId="32" numFmtId="0" xfId="0" applyBorder="1" applyFont="1"/>
    <xf borderId="6" fillId="5" fontId="19" numFmtId="0" xfId="0" applyBorder="1" applyFont="1"/>
    <xf borderId="6" fillId="5" fontId="19" numFmtId="164" xfId="0" applyBorder="1" applyFont="1" applyNumberFormat="1"/>
    <xf borderId="6" fillId="5" fontId="19" numFmtId="2" xfId="0" applyBorder="1" applyFont="1" applyNumberFormat="1"/>
    <xf borderId="6" fillId="5" fontId="19" numFmtId="170" xfId="0" applyBorder="1" applyFont="1" applyNumberFormat="1"/>
    <xf borderId="6" fillId="0" fontId="3" numFmtId="0" xfId="0" applyBorder="1" applyFont="1"/>
    <xf borderId="6" fillId="6" fontId="20" numFmtId="9" xfId="0" applyBorder="1" applyFont="1" applyNumberFormat="1"/>
    <xf borderId="6" fillId="5" fontId="32" numFmtId="2" xfId="0" applyBorder="1" applyFont="1" applyNumberFormat="1"/>
    <xf borderId="6" fillId="5" fontId="20" numFmtId="9" xfId="0" applyBorder="1" applyFont="1" applyNumberFormat="1"/>
    <xf borderId="0" fillId="0" fontId="36" numFmtId="0" xfId="0" applyFont="1"/>
    <xf borderId="0" fillId="0" fontId="3" numFmtId="0" xfId="0" applyAlignment="1" applyFont="1">
      <alignment shrinkToFit="0" wrapText="1"/>
    </xf>
    <xf borderId="8" fillId="8" fontId="18" numFmtId="0" xfId="0" applyAlignment="1" applyBorder="1" applyFont="1">
      <alignment horizontal="center" shrinkToFit="0" vertical="center" wrapText="1"/>
    </xf>
    <xf borderId="28" fillId="8" fontId="18" numFmtId="0" xfId="0" applyAlignment="1" applyBorder="1" applyFont="1">
      <alignment horizontal="center" shrinkToFit="0" vertical="center" wrapText="1"/>
    </xf>
    <xf borderId="12" fillId="8" fontId="18" numFmtId="0" xfId="0" applyAlignment="1" applyBorder="1" applyFont="1">
      <alignment horizontal="center" shrinkToFit="0" vertical="center" wrapText="1"/>
    </xf>
    <xf borderId="6" fillId="0" fontId="32" numFmtId="0" xfId="0" applyAlignment="1" applyBorder="1" applyFont="1">
      <alignment horizontal="center" shrinkToFit="0" vertical="center" wrapText="1"/>
    </xf>
    <xf borderId="6" fillId="0" fontId="32" numFmtId="0" xfId="0" applyAlignment="1" applyBorder="1" applyFont="1">
      <alignment horizontal="left" shrinkToFit="0" vertical="center" wrapText="1"/>
    </xf>
    <xf borderId="6" fillId="0" fontId="19" numFmtId="164" xfId="0" applyAlignment="1" applyBorder="1" applyFont="1" applyNumberFormat="1">
      <alignment horizontal="center" shrinkToFit="0" vertical="center" wrapText="1"/>
    </xf>
    <xf borderId="6" fillId="0" fontId="22" numFmtId="164" xfId="0" applyAlignment="1" applyBorder="1" applyFont="1" applyNumberFormat="1">
      <alignment horizontal="right" shrinkToFit="0" vertical="center" wrapText="1"/>
    </xf>
    <xf borderId="5" fillId="5" fontId="23" numFmtId="0" xfId="0" applyAlignment="1" applyBorder="1" applyFont="1">
      <alignment horizontal="center" shrinkToFit="0" vertical="center" wrapText="1"/>
    </xf>
    <xf borderId="6" fillId="0" fontId="23" numFmtId="164" xfId="0" applyAlignment="1" applyBorder="1" applyFont="1" applyNumberFormat="1">
      <alignment horizontal="right" shrinkToFit="0" vertical="center" wrapText="1"/>
    </xf>
    <xf borderId="6" fillId="0" fontId="22" numFmtId="0" xfId="0" applyAlignment="1" applyBorder="1" applyFont="1">
      <alignment horizontal="right" shrinkToFit="0" vertical="center" wrapText="1"/>
    </xf>
    <xf borderId="6" fillId="6" fontId="23" numFmtId="9" xfId="0" applyAlignment="1" applyBorder="1" applyFont="1" applyNumberFormat="1">
      <alignment horizontal="center" shrinkToFit="0" vertical="center" wrapText="1"/>
    </xf>
    <xf borderId="0" fillId="0" fontId="3" numFmtId="171" xfId="0" applyFont="1" applyNumberFormat="1"/>
    <xf borderId="0" fillId="0" fontId="37" numFmtId="0" xfId="0" applyAlignment="1" applyFont="1">
      <alignment horizontal="center" shrinkToFit="0" wrapText="1"/>
    </xf>
    <xf borderId="0" fillId="0" fontId="3" numFmtId="164" xfId="0" applyFont="1" applyNumberFormat="1"/>
    <xf borderId="0" fillId="0" fontId="2" numFmtId="164" xfId="0" applyFont="1" applyNumberFormat="1"/>
    <xf borderId="0" fillId="0" fontId="38" numFmtId="0" xfId="0" applyAlignment="1" applyFont="1">
      <alignment horizontal="center" shrinkToFit="0" wrapText="1"/>
    </xf>
    <xf borderId="0" fillId="0" fontId="39" numFmtId="0" xfId="0" applyFont="1"/>
    <xf borderId="0" fillId="0" fontId="33" numFmtId="0" xfId="0" applyAlignment="1" applyFont="1">
      <alignment vertical="center"/>
    </xf>
    <xf borderId="29" fillId="0" fontId="10" numFmtId="0" xfId="0" applyAlignment="1" applyBorder="1" applyFont="1">
      <alignment horizontal="center"/>
    </xf>
    <xf borderId="30" fillId="8" fontId="21" numFmtId="0" xfId="0" applyAlignment="1" applyBorder="1" applyFont="1">
      <alignment vertical="center"/>
    </xf>
    <xf borderId="31" fillId="8" fontId="21" numFmtId="0" xfId="0" applyAlignment="1" applyBorder="1" applyFont="1">
      <alignment horizontal="center"/>
    </xf>
    <xf borderId="32" fillId="0" fontId="19" numFmtId="0" xfId="0" applyAlignment="1" applyBorder="1" applyFont="1">
      <alignment vertical="center"/>
    </xf>
    <xf borderId="6" fillId="0" fontId="32" numFmtId="37" xfId="0" applyAlignment="1" applyBorder="1" applyFont="1" applyNumberFormat="1">
      <alignment vertical="center"/>
    </xf>
    <xf borderId="6" fillId="0" fontId="40" numFmtId="3" xfId="0" applyAlignment="1" applyBorder="1" applyFont="1" applyNumberFormat="1">
      <alignment horizontal="right" vertical="center"/>
    </xf>
    <xf borderId="32" fillId="0" fontId="41" numFmtId="0" xfId="0" applyAlignment="1" applyBorder="1" applyFont="1">
      <alignment vertical="center"/>
    </xf>
    <xf borderId="6" fillId="0" fontId="19" numFmtId="4" xfId="0" applyAlignment="1" applyBorder="1" applyFont="1" applyNumberFormat="1">
      <alignment vertical="center"/>
    </xf>
    <xf borderId="32" fillId="0" fontId="32" numFmtId="0" xfId="0" applyAlignment="1" applyBorder="1" applyFont="1">
      <alignment horizontal="left" vertical="center"/>
    </xf>
    <xf borderId="6" fillId="0" fontId="42" numFmtId="4" xfId="0" applyAlignment="1" applyBorder="1" applyFont="1" applyNumberFormat="1">
      <alignment vertical="center"/>
    </xf>
    <xf borderId="6" fillId="0" fontId="32" numFmtId="3" xfId="0" applyAlignment="1" applyBorder="1" applyFont="1" applyNumberFormat="1">
      <alignment vertical="center"/>
    </xf>
    <xf borderId="0" fillId="0" fontId="33" numFmtId="3" xfId="0" applyAlignment="1" applyFont="1" applyNumberFormat="1">
      <alignment vertical="center"/>
    </xf>
    <xf borderId="32" fillId="0" fontId="19" numFmtId="0" xfId="0" applyAlignment="1" applyBorder="1" applyFont="1">
      <alignment horizontal="left" vertical="center"/>
    </xf>
    <xf borderId="6" fillId="0" fontId="19" numFmtId="3" xfId="0" applyAlignment="1" applyBorder="1" applyFont="1" applyNumberFormat="1">
      <alignment vertical="center"/>
    </xf>
    <xf borderId="0" fillId="0" fontId="28" numFmtId="0" xfId="0" applyAlignment="1" applyFont="1">
      <alignment vertical="center"/>
    </xf>
    <xf borderId="32" fillId="0" fontId="32" numFmtId="0" xfId="0" applyAlignment="1" applyBorder="1" applyFont="1">
      <alignment vertical="center"/>
    </xf>
    <xf borderId="6" fillId="0" fontId="42" numFmtId="3" xfId="0" applyAlignment="1" applyBorder="1" applyFont="1" applyNumberFormat="1">
      <alignment vertical="center"/>
    </xf>
    <xf borderId="6" fillId="0" fontId="40" numFmtId="3" xfId="0" applyAlignment="1" applyBorder="1" applyFont="1" applyNumberFormat="1">
      <alignment vertical="center"/>
    </xf>
    <xf borderId="32" fillId="0" fontId="23" numFmtId="0" xfId="0" applyAlignment="1" applyBorder="1" applyFont="1">
      <alignment vertical="center"/>
    </xf>
    <xf borderId="6" fillId="0" fontId="23" numFmtId="3" xfId="0" applyAlignment="1" applyBorder="1" applyFont="1" applyNumberFormat="1">
      <alignment vertical="center"/>
    </xf>
    <xf borderId="32" fillId="0" fontId="43" numFmtId="0" xfId="0" applyAlignment="1" applyBorder="1" applyFont="1">
      <alignment vertical="center"/>
    </xf>
    <xf borderId="6" fillId="0" fontId="44" numFmtId="4" xfId="0" applyAlignment="1" applyBorder="1" applyFont="1" applyNumberFormat="1">
      <alignment vertical="center"/>
    </xf>
    <xf borderId="32" fillId="0" fontId="45" numFmtId="0" xfId="0" applyAlignment="1" applyBorder="1" applyFont="1">
      <alignment vertical="center"/>
    </xf>
    <xf borderId="6" fillId="0" fontId="45" numFmtId="4" xfId="0" applyAlignment="1" applyBorder="1" applyFont="1" applyNumberFormat="1">
      <alignment vertical="center"/>
    </xf>
    <xf borderId="33" fillId="0" fontId="45" numFmtId="0" xfId="0" applyAlignment="1" applyBorder="1" applyFont="1">
      <alignment vertical="center"/>
    </xf>
    <xf borderId="34" fillId="0" fontId="45" numFmtId="4" xfId="0" applyAlignment="1" applyBorder="1" applyFont="1" applyNumberFormat="1">
      <alignment vertical="center"/>
    </xf>
    <xf borderId="0" fillId="0" fontId="33" numFmtId="4" xfId="0" applyAlignment="1" applyFont="1" applyNumberFormat="1">
      <alignment vertical="center"/>
    </xf>
    <xf borderId="0" fillId="0" fontId="46" numFmtId="0" xfId="0" applyAlignment="1" applyFont="1">
      <alignment horizontal="center" shrinkToFit="0" wrapText="1"/>
    </xf>
    <xf borderId="6" fillId="8" fontId="21" numFmtId="0" xfId="0" applyAlignment="1" applyBorder="1" applyFont="1">
      <alignment shrinkToFit="0" wrapText="1"/>
    </xf>
    <xf borderId="6" fillId="0" fontId="23" numFmtId="0" xfId="0" applyAlignment="1" applyBorder="1" applyFont="1">
      <alignment shrinkToFit="0" wrapText="1"/>
    </xf>
    <xf borderId="6" fillId="0" fontId="22" numFmtId="164" xfId="0" applyAlignment="1" applyBorder="1" applyFont="1" applyNumberFormat="1">
      <alignment shrinkToFit="0" wrapText="1"/>
    </xf>
    <xf borderId="6" fillId="0" fontId="22" numFmtId="0" xfId="0" applyAlignment="1" applyBorder="1" applyFont="1">
      <alignment horizontal="left" shrinkToFit="0" wrapText="1"/>
    </xf>
    <xf borderId="6" fillId="0" fontId="23" numFmtId="164" xfId="0" applyAlignment="1" applyBorder="1" applyFont="1" applyNumberFormat="1">
      <alignment shrinkToFit="0" wrapText="1"/>
    </xf>
    <xf borderId="2" fillId="0" fontId="23" numFmtId="0" xfId="0" applyAlignment="1" applyBorder="1" applyFont="1">
      <alignment horizontal="center" shrinkToFit="0" wrapText="1"/>
    </xf>
    <xf borderId="6" fillId="0" fontId="22" numFmtId="0" xfId="0" applyAlignment="1" applyBorder="1" applyFont="1">
      <alignment shrinkToFit="0" wrapText="1"/>
    </xf>
    <xf borderId="6" fillId="0" fontId="22" numFmtId="0" xfId="0" applyAlignment="1" applyBorder="1" applyFont="1">
      <alignment horizontal="right" shrinkToFit="0" wrapText="1"/>
    </xf>
    <xf borderId="6" fillId="0" fontId="22" numFmtId="165" xfId="0" applyAlignment="1" applyBorder="1" applyFont="1" applyNumberFormat="1">
      <alignment shrinkToFit="0" wrapText="1"/>
    </xf>
    <xf borderId="6" fillId="0" fontId="23" numFmtId="0" xfId="0" applyAlignment="1" applyBorder="1" applyFont="1">
      <alignment horizontal="right" shrinkToFit="0" wrapText="1"/>
    </xf>
    <xf borderId="6" fillId="0" fontId="22" numFmtId="164" xfId="0" applyAlignment="1" applyBorder="1" applyFont="1" applyNumberFormat="1">
      <alignment shrinkToFit="0" wrapText="1"/>
    </xf>
    <xf borderId="6" fillId="0" fontId="23" numFmtId="0" xfId="0" applyAlignment="1" applyBorder="1" applyFont="1">
      <alignment horizontal="left" shrinkToFit="0" wrapText="1"/>
    </xf>
    <xf borderId="0" fillId="0" fontId="26" numFmtId="0" xfId="0" applyAlignment="1" applyFont="1">
      <alignment horizontal="center" shrinkToFit="0" wrapText="1"/>
    </xf>
    <xf borderId="0" fillId="0" fontId="47" numFmtId="0" xfId="0" applyAlignment="1" applyFont="1">
      <alignment horizontal="center"/>
    </xf>
    <xf borderId="0" fillId="0" fontId="48" numFmtId="0" xfId="0" applyFont="1"/>
    <xf borderId="6" fillId="9" fontId="20" numFmtId="0" xfId="0" applyAlignment="1" applyBorder="1" applyFont="1">
      <alignment horizontal="left"/>
    </xf>
    <xf borderId="6" fillId="9" fontId="49" numFmtId="0" xfId="0" applyAlignment="1" applyBorder="1" applyFont="1">
      <alignment horizontal="center"/>
    </xf>
    <xf borderId="35" fillId="9" fontId="50" numFmtId="0" xfId="0" applyAlignment="1" applyBorder="1" applyFont="1">
      <alignment horizontal="center"/>
    </xf>
    <xf borderId="6" fillId="0" fontId="22" numFmtId="4" xfId="0" applyBorder="1" applyFont="1" applyNumberFormat="1"/>
    <xf borderId="6" fillId="0" fontId="22" numFmtId="172" xfId="0" applyBorder="1" applyFont="1" applyNumberFormat="1"/>
    <xf borderId="6" fillId="0" fontId="22" numFmtId="10" xfId="0" applyBorder="1" applyFont="1" applyNumberFormat="1"/>
    <xf quotePrefix="1" borderId="6" fillId="0" fontId="22" numFmtId="0" xfId="0" applyAlignment="1" applyBorder="1" applyFont="1">
      <alignment horizontal="left"/>
    </xf>
    <xf borderId="6" fillId="0" fontId="22" numFmtId="0" xfId="0" applyAlignment="1" applyBorder="1" applyFont="1">
      <alignment horizontal="left"/>
    </xf>
    <xf borderId="6" fillId="0" fontId="51" numFmtId="4" xfId="0" applyBorder="1" applyFont="1" applyNumberFormat="1"/>
    <xf borderId="6" fillId="0" fontId="3" numFmtId="4" xfId="0" applyBorder="1" applyFont="1" applyNumberFormat="1"/>
    <xf borderId="0" fillId="0" fontId="3" numFmtId="4" xfId="0" applyFont="1" applyNumberFormat="1"/>
    <xf borderId="0" fillId="0" fontId="3" numFmtId="10" xfId="0" applyFont="1" applyNumberFormat="1"/>
    <xf borderId="2" fillId="0" fontId="22" numFmtId="4" xfId="0" applyAlignment="1" applyBorder="1" applyFont="1" applyNumberFormat="1">
      <alignment horizontal="center"/>
    </xf>
    <xf borderId="0" fillId="0" fontId="22" numFmtId="0" xfId="0" applyFont="1"/>
    <xf borderId="0" fillId="0" fontId="22" numFmtId="4" xfId="0" applyAlignment="1" applyFont="1" applyNumberFormat="1">
      <alignment horizontal="center"/>
    </xf>
    <xf borderId="0" fillId="0" fontId="52" numFmtId="0" xfId="0" applyAlignment="1" applyFont="1">
      <alignment horizontal="center" shrinkToFit="0" wrapText="1"/>
    </xf>
    <xf borderId="6" fillId="9" fontId="20" numFmtId="0" xfId="0" applyBorder="1" applyFont="1"/>
    <xf borderId="6" fillId="9" fontId="20" numFmtId="0" xfId="0" applyAlignment="1" applyBorder="1" applyFont="1">
      <alignment horizontal="center"/>
    </xf>
    <xf borderId="6" fillId="0" fontId="20" numFmtId="2" xfId="0" applyBorder="1" applyFont="1" applyNumberFormat="1"/>
    <xf borderId="0" fillId="0" fontId="21" numFmtId="0" xfId="0" applyFont="1"/>
    <xf borderId="0" fillId="0" fontId="21" numFmtId="10" xfId="0" applyFont="1" applyNumberFormat="1"/>
    <xf borderId="0" fillId="0" fontId="53" numFmtId="0" xfId="0" applyAlignment="1" applyFont="1">
      <alignment horizontal="center" shrinkToFit="0" wrapText="1"/>
    </xf>
    <xf borderId="6" fillId="0" fontId="20" numFmtId="3" xfId="0" applyBorder="1" applyFont="1" applyNumberFormat="1"/>
    <xf borderId="6" fillId="0" fontId="20" numFmtId="0" xfId="0" applyAlignment="1" applyBorder="1" applyFont="1">
      <alignment shrinkToFit="0" wrapText="1"/>
    </xf>
    <xf borderId="6" fillId="0" fontId="51" numFmtId="0" xfId="0" applyBorder="1" applyFont="1"/>
    <xf borderId="0" fillId="0" fontId="51" numFmtId="0" xfId="0" applyFont="1"/>
    <xf borderId="0" fillId="0" fontId="20" numFmtId="173" xfId="0" applyFont="1" applyNumberFormat="1"/>
    <xf borderId="6" fillId="9" fontId="54" numFmtId="0" xfId="0" applyAlignment="1" applyBorder="1" applyFont="1">
      <alignment horizontal="center"/>
    </xf>
    <xf borderId="6" fillId="0" fontId="55" numFmtId="0" xfId="0" applyAlignment="1" applyBorder="1" applyFont="1">
      <alignment horizontal="center"/>
    </xf>
    <xf borderId="6" fillId="0" fontId="56" numFmtId="0" xfId="0" applyAlignment="1" applyBorder="1" applyFont="1">
      <alignment horizontal="center"/>
    </xf>
    <xf borderId="2" fillId="0" fontId="20" numFmtId="2" xfId="0" applyAlignment="1" applyBorder="1" applyFont="1" applyNumberFormat="1">
      <alignment horizontal="center"/>
    </xf>
    <xf borderId="6" fillId="0" fontId="21" numFmtId="0" xfId="0" applyAlignment="1" applyBorder="1" applyFont="1">
      <alignment horizontal="center" vertical="center"/>
    </xf>
    <xf borderId="2" fillId="0" fontId="21" numFmtId="10" xfId="0" applyAlignment="1" applyBorder="1" applyFont="1" applyNumberFormat="1">
      <alignment horizontal="center"/>
    </xf>
    <xf borderId="0" fillId="0" fontId="27" numFmtId="0" xfId="0" applyAlignment="1" applyFont="1">
      <alignment horizontal="center"/>
    </xf>
    <xf borderId="6" fillId="0" fontId="22" numFmtId="0" xfId="0" applyAlignment="1" applyBorder="1" applyFont="1">
      <alignment horizontal="center"/>
    </xf>
    <xf borderId="6" fillId="0" fontId="19" numFmtId="0" xfId="0" applyAlignment="1" applyBorder="1" applyFont="1">
      <alignment horizontal="center"/>
    </xf>
    <xf borderId="6" fillId="0" fontId="22" numFmtId="164" xfId="0" applyAlignment="1" applyBorder="1" applyFont="1" applyNumberFormat="1">
      <alignment horizontal="center"/>
    </xf>
    <xf borderId="6" fillId="0" fontId="3" numFmtId="164" xfId="0" applyBorder="1" applyFont="1" applyNumberFormat="1"/>
    <xf borderId="6" fillId="0" fontId="3" numFmtId="0" xfId="0" applyAlignment="1" applyBorder="1" applyFont="1">
      <alignment horizontal="center" vertical="center"/>
    </xf>
    <xf borderId="6" fillId="0" fontId="6" numFmtId="164" xfId="0" applyBorder="1" applyFont="1" applyNumberFormat="1"/>
    <xf borderId="6" fillId="0" fontId="6" numFmtId="2" xfId="0" applyBorder="1" applyFont="1" applyNumberFormat="1"/>
    <xf borderId="0" fillId="0" fontId="6" numFmtId="2" xfId="0" applyFont="1" applyNumberFormat="1"/>
    <xf borderId="6" fillId="0" fontId="21" numFmtId="2" xfId="0" applyBorder="1" applyFont="1" applyNumberFormat="1"/>
    <xf borderId="36" fillId="0" fontId="47" numFmtId="0" xfId="0" applyAlignment="1" applyBorder="1" applyFont="1">
      <alignment horizontal="center"/>
    </xf>
    <xf borderId="0" fillId="0" fontId="8" numFmtId="0" xfId="0" applyAlignment="1" applyFont="1">
      <alignment horizontal="center"/>
    </xf>
    <xf borderId="6" fillId="0" fontId="22" numFmtId="164" xfId="0" applyBorder="1" applyFont="1" applyNumberFormat="1"/>
    <xf borderId="23" fillId="6" fontId="6" numFmtId="9" xfId="0" applyBorder="1" applyFont="1" applyNumberFormat="1"/>
    <xf borderId="6" fillId="0" fontId="23" numFmtId="164" xfId="0" applyBorder="1" applyFont="1" applyNumberFormat="1"/>
    <xf borderId="0" fillId="0" fontId="22" numFmtId="174" xfId="0" applyFont="1" applyNumberFormat="1"/>
    <xf borderId="6" fillId="0" fontId="22" numFmtId="174" xfId="0" applyBorder="1" applyFont="1" applyNumberFormat="1"/>
    <xf borderId="6" fillId="0" fontId="22" numFmtId="175" xfId="0" applyBorder="1" applyFont="1" applyNumberFormat="1"/>
    <xf borderId="6" fillId="0" fontId="22" numFmtId="171" xfId="0" applyBorder="1" applyFont="1" applyNumberFormat="1"/>
    <xf borderId="6" fillId="0" fontId="23" numFmtId="173" xfId="0" applyBorder="1" applyFont="1" applyNumberFormat="1"/>
    <xf borderId="0" fillId="0" fontId="3" numFmtId="9" xfId="0" applyFont="1" applyNumberFormat="1"/>
    <xf borderId="6" fillId="0" fontId="23" numFmtId="174" xfId="0" applyBorder="1" applyFont="1" applyNumberFormat="1"/>
    <xf borderId="0" fillId="0" fontId="57" numFmtId="0" xfId="0" applyAlignment="1" applyFont="1">
      <alignment horizontal="center" shrinkToFit="0" wrapText="1"/>
    </xf>
    <xf borderId="0" fillId="0" fontId="57" numFmtId="0" xfId="0" applyFont="1"/>
    <xf borderId="1" fillId="0" fontId="10" numFmtId="0" xfId="0" applyAlignment="1" applyBorder="1" applyFont="1">
      <alignment horizontal="center"/>
    </xf>
    <xf borderId="6" fillId="9" fontId="6" numFmtId="0" xfId="0" applyBorder="1" applyFont="1"/>
    <xf borderId="6" fillId="9" fontId="6" numFmtId="0" xfId="0" applyAlignment="1" applyBorder="1" applyFont="1">
      <alignment horizontal="center"/>
    </xf>
    <xf borderId="0" fillId="0" fontId="6" numFmtId="0" xfId="0" applyAlignment="1" applyFont="1">
      <alignment horizontal="center"/>
    </xf>
    <xf borderId="6" fillId="5" fontId="3" numFmtId="0" xfId="0" applyBorder="1" applyFont="1"/>
    <xf borderId="0" fillId="0" fontId="3" numFmtId="1" xfId="0" applyFont="1" applyNumberFormat="1"/>
    <xf borderId="6" fillId="0" fontId="6" numFmtId="0" xfId="0" applyBorder="1" applyFont="1"/>
    <xf borderId="0" fillId="0" fontId="6" numFmtId="164" xfId="0" applyFont="1" applyNumberFormat="1"/>
    <xf borderId="6" fillId="5" fontId="6" numFmtId="0" xfId="0" applyBorder="1" applyFont="1"/>
    <xf borderId="0" fillId="0" fontId="3" numFmtId="176" xfId="0" applyFont="1" applyNumberFormat="1"/>
    <xf borderId="6" fillId="9" fontId="6" numFmtId="0" xfId="0" applyAlignment="1" applyBorder="1" applyFont="1">
      <alignment shrinkToFit="0" wrapText="1"/>
    </xf>
    <xf borderId="24" fillId="0" fontId="6" numFmtId="0" xfId="0" applyAlignment="1" applyBorder="1" applyFont="1">
      <alignment shrinkToFit="0" wrapText="1"/>
    </xf>
    <xf borderId="8" fillId="0" fontId="3" numFmtId="0" xfId="0" applyAlignment="1" applyBorder="1" applyFont="1">
      <alignment horizontal="center" vertical="center"/>
    </xf>
    <xf borderId="6" fillId="5" fontId="3" numFmtId="9" xfId="0" applyBorder="1" applyFont="1" applyNumberFormat="1"/>
    <xf borderId="6" fillId="6" fontId="3" numFmtId="0" xfId="0" applyBorder="1" applyFont="1"/>
    <xf borderId="6" fillId="6" fontId="3" numFmtId="9" xfId="0" applyBorder="1" applyFont="1" applyNumberFormat="1"/>
    <xf borderId="9" fillId="0" fontId="3" numFmtId="0" xfId="0" applyAlignment="1" applyBorder="1" applyFont="1">
      <alignment horizontal="center" vertical="center"/>
    </xf>
    <xf borderId="8" fillId="0" fontId="3" numFmtId="0" xfId="0" applyAlignment="1" applyBorder="1" applyFont="1">
      <alignment shrinkToFit="0" vertical="center" wrapText="1"/>
    </xf>
    <xf borderId="9" fillId="0" fontId="3" numFmtId="0" xfId="0" applyAlignment="1" applyBorder="1" applyFont="1">
      <alignment shrinkToFit="0" vertical="center" wrapText="1"/>
    </xf>
    <xf borderId="2" fillId="0" fontId="10" numFmtId="0" xfId="0" applyAlignment="1" applyBorder="1" applyFont="1">
      <alignment horizontal="center"/>
    </xf>
    <xf borderId="8" fillId="9" fontId="6" numFmtId="0" xfId="0" applyAlignment="1" applyBorder="1" applyFont="1">
      <alignment vertical="center"/>
    </xf>
    <xf borderId="6" fillId="6" fontId="6" numFmtId="9" xfId="0" applyBorder="1" applyFont="1" applyNumberFormat="1"/>
    <xf borderId="2" fillId="0" fontId="29" numFmtId="0" xfId="0" applyAlignment="1" applyBorder="1" applyFont="1">
      <alignment horizontal="center"/>
    </xf>
    <xf borderId="8" fillId="9" fontId="6" numFmtId="0" xfId="0" applyAlignment="1" applyBorder="1" applyFont="1">
      <alignment horizontal="left" vertical="center"/>
    </xf>
    <xf borderId="6" fillId="6" fontId="6" numFmtId="9" xfId="0" applyAlignment="1" applyBorder="1" applyFont="1" applyNumberFormat="1">
      <alignment horizontal="center"/>
    </xf>
    <xf borderId="2" fillId="0" fontId="28" numFmtId="0" xfId="0" applyAlignment="1" applyBorder="1" applyFont="1">
      <alignment horizontal="center"/>
    </xf>
    <xf borderId="8" fillId="9" fontId="3" numFmtId="0" xfId="0" applyAlignment="1" applyBorder="1" applyFont="1">
      <alignment horizontal="left" vertical="center"/>
    </xf>
    <xf borderId="6" fillId="6" fontId="3" numFmtId="9" xfId="0" applyBorder="1" applyFont="1" applyNumberFormat="1"/>
    <xf borderId="6" fillId="6" fontId="3" numFmtId="176" xfId="0" applyBorder="1" applyFont="1" applyNumberFormat="1"/>
    <xf borderId="9" fillId="0" fontId="6" numFmtId="0" xfId="0" applyAlignment="1" applyBorder="1" applyFont="1">
      <alignment horizontal="center" vertical="center"/>
    </xf>
    <xf borderId="8" fillId="0" fontId="6" numFmtId="0" xfId="0" applyAlignment="1" applyBorder="1" applyFont="1">
      <alignment horizontal="center" shrinkToFit="0" vertical="center" wrapText="1"/>
    </xf>
    <xf borderId="23" fillId="5" fontId="20" numFmtId="0" xfId="0" applyBorder="1" applyFont="1"/>
    <xf borderId="6" fillId="0" fontId="3" numFmtId="9" xfId="0" applyBorder="1" applyFont="1" applyNumberFormat="1"/>
    <xf borderId="6" fillId="0" fontId="20" numFmtId="171" xfId="0" applyBorder="1" applyFont="1" applyNumberFormat="1"/>
    <xf borderId="6" fillId="0" fontId="21" numFmtId="165" xfId="0" applyBorder="1" applyFont="1" applyNumberFormat="1"/>
    <xf borderId="6" fillId="6" fontId="21" numFmtId="0" xfId="0" applyBorder="1" applyFont="1"/>
    <xf borderId="6" fillId="6" fontId="21" numFmtId="9" xfId="0" applyBorder="1" applyFont="1" applyNumberFormat="1"/>
    <xf borderId="6" fillId="6" fontId="21" numFmtId="165" xfId="0" applyBorder="1" applyFont="1" applyNumberFormat="1"/>
    <xf borderId="6" fillId="0" fontId="20" numFmtId="165" xfId="0" applyBorder="1" applyFont="1" applyNumberFormat="1"/>
    <xf borderId="0" fillId="0" fontId="21" numFmtId="0" xfId="0" applyAlignment="1" applyFont="1">
      <alignment horizontal="center"/>
    </xf>
    <xf borderId="0" fillId="0" fontId="21" numFmtId="9" xfId="0" applyAlignment="1" applyFont="1" applyNumberFormat="1">
      <alignment horizontal="center"/>
    </xf>
    <xf borderId="0" fillId="0" fontId="21" numFmtId="10" xfId="0" applyAlignment="1" applyFont="1" applyNumberFormat="1">
      <alignment horizontal="center"/>
    </xf>
    <xf borderId="6" fillId="5" fontId="21" numFmtId="164" xfId="0" applyBorder="1" applyFont="1" applyNumberFormat="1"/>
    <xf borderId="6" fillId="5" fontId="21" numFmtId="174" xfId="0" applyBorder="1" applyFont="1" applyNumberFormat="1"/>
    <xf borderId="0" fillId="0" fontId="20" numFmtId="171" xfId="0" applyFont="1" applyNumberFormat="1"/>
    <xf borderId="6" fillId="0" fontId="20" numFmtId="1" xfId="0" applyBorder="1" applyFont="1" applyNumberFormat="1"/>
    <xf borderId="6" fillId="6" fontId="20" numFmtId="0" xfId="0" applyBorder="1" applyFont="1"/>
    <xf borderId="2" fillId="0" fontId="3" numFmtId="164" xfId="0" applyBorder="1" applyFont="1" applyNumberFormat="1"/>
    <xf borderId="6" fillId="5" fontId="20" numFmtId="0" xfId="0" applyAlignment="1" applyBorder="1" applyFont="1">
      <alignment shrinkToFit="0" wrapText="1"/>
    </xf>
    <xf borderId="6" fillId="0" fontId="21" numFmtId="0" xfId="0" applyAlignment="1" applyBorder="1" applyFont="1">
      <alignment shrinkToFit="0" wrapText="1"/>
    </xf>
    <xf borderId="23" fillId="5" fontId="20" numFmtId="166" xfId="0" applyBorder="1" applyFont="1" applyNumberFormat="1"/>
    <xf borderId="0" fillId="0" fontId="20" numFmtId="166" xfId="0" applyFont="1" applyNumberFormat="1"/>
    <xf borderId="0" fillId="0" fontId="20" numFmtId="1" xfId="0" applyFont="1" applyNumberFormat="1"/>
    <xf borderId="10" fillId="9" fontId="6" numFmtId="0" xfId="0" applyAlignment="1" applyBorder="1" applyFont="1">
      <alignment shrinkToFit="0" wrapText="1"/>
    </xf>
    <xf borderId="6" fillId="0" fontId="3" numFmtId="0" xfId="0" applyAlignment="1" applyBorder="1" applyFont="1">
      <alignment horizontal="center"/>
    </xf>
    <xf borderId="6" fillId="5" fontId="20" numFmtId="164" xfId="0" applyAlignment="1" applyBorder="1" applyFont="1" applyNumberFormat="1">
      <alignment shrinkToFit="0" wrapText="1"/>
    </xf>
    <xf borderId="0" fillId="0" fontId="21" numFmtId="164" xfId="0" applyFont="1" applyNumberFormat="1"/>
    <xf borderId="0" fillId="0" fontId="20" numFmtId="165" xfId="0" applyFont="1" applyNumberFormat="1"/>
    <xf borderId="4" fillId="0" fontId="20" numFmtId="164" xfId="0" applyBorder="1" applyFont="1" applyNumberFormat="1"/>
    <xf borderId="6" fillId="0" fontId="21" numFmtId="164" xfId="0" applyAlignment="1" applyBorder="1" applyFont="1" applyNumberFormat="1">
      <alignment shrinkToFit="0" wrapText="1"/>
    </xf>
  </cellXfs>
  <cellStyles count="1">
    <cellStyle xfId="0" name="Normal" builtinId="0"/>
  </cellStyles>
  <dxfs count="2">
    <dxf>
      <font>
        <color rgb="FF9C0006"/>
      </font>
      <fill>
        <patternFill patternType="solid">
          <fgColor rgb="FFFFC7CE"/>
          <bgColor rgb="FFFFC7CE"/>
        </patternFill>
      </fill>
      <border/>
    </dxf>
    <dxf>
      <font>
        <color rgb="FFFF0000"/>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externalLink" Target="externalLinks/externalLink1.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12" Type="http://schemas.openxmlformats.org/officeDocument/2006/relationships/worksheet" Target="worksheets/sheet9.xml"/><Relationship Id="rId23"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investopedia.com/terms/d/discountrate.asp"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about:blank"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6"/>
    <col customWidth="1" min="2" max="2" width="56.0"/>
    <col customWidth="1" min="3" max="3" width="26.29"/>
    <col customWidth="1" min="4" max="4" width="20.71"/>
    <col customWidth="1" min="5" max="5" width="29.43"/>
    <col customWidth="1" min="6" max="11" width="9.14"/>
  </cols>
  <sheetData>
    <row r="1" ht="26.25" customHeight="1">
      <c r="A1" s="1" t="s">
        <v>0</v>
      </c>
      <c r="B1" s="2"/>
      <c r="C1" s="2"/>
      <c r="D1" s="2"/>
      <c r="E1" s="2"/>
      <c r="F1" s="3"/>
      <c r="G1" s="3"/>
      <c r="H1" s="3"/>
      <c r="I1" s="3"/>
      <c r="J1" s="3"/>
      <c r="K1" s="3"/>
    </row>
    <row r="2" ht="26.25" customHeight="1">
      <c r="A2" s="4" t="s">
        <v>1</v>
      </c>
      <c r="B2" s="5"/>
      <c r="C2" s="5"/>
      <c r="D2" s="5"/>
      <c r="E2" s="6"/>
      <c r="F2" s="3"/>
      <c r="G2" s="3"/>
      <c r="H2" s="3"/>
      <c r="I2" s="3"/>
      <c r="J2" s="3"/>
      <c r="K2" s="3"/>
    </row>
    <row r="3" ht="23.25" customHeight="1">
      <c r="A3" s="7" t="s">
        <v>2</v>
      </c>
      <c r="B3" s="5"/>
      <c r="C3" s="5"/>
      <c r="D3" s="5"/>
      <c r="E3" s="6"/>
      <c r="F3" s="3"/>
      <c r="G3" s="3"/>
      <c r="H3" s="3"/>
      <c r="I3" s="3"/>
      <c r="J3" s="3"/>
      <c r="K3" s="3"/>
    </row>
    <row r="4" ht="240.75" customHeight="1">
      <c r="A4" s="8" t="s">
        <v>3</v>
      </c>
      <c r="B4" s="5"/>
      <c r="C4" s="5"/>
      <c r="D4" s="5"/>
      <c r="E4" s="6"/>
      <c r="F4" s="3"/>
      <c r="G4" s="3"/>
      <c r="H4" s="3"/>
      <c r="I4" s="3"/>
      <c r="J4" s="3"/>
      <c r="K4" s="3"/>
    </row>
    <row r="5" ht="23.25" customHeight="1">
      <c r="A5" s="7" t="s">
        <v>4</v>
      </c>
      <c r="B5" s="5"/>
      <c r="C5" s="5"/>
      <c r="D5" s="5"/>
      <c r="E5" s="6"/>
      <c r="F5" s="3"/>
      <c r="G5" s="3"/>
      <c r="H5" s="3"/>
      <c r="I5" s="3"/>
      <c r="J5" s="3"/>
      <c r="K5" s="3"/>
    </row>
    <row r="6" ht="108.0" customHeight="1">
      <c r="A6" s="8" t="s">
        <v>5</v>
      </c>
      <c r="B6" s="5"/>
      <c r="C6" s="5"/>
      <c r="D6" s="5"/>
      <c r="E6" s="6"/>
      <c r="F6" s="3"/>
      <c r="G6" s="3"/>
      <c r="H6" s="3"/>
      <c r="I6" s="3"/>
      <c r="J6" s="3"/>
      <c r="K6" s="3"/>
    </row>
    <row r="7" ht="23.25" customHeight="1">
      <c r="A7" s="9" t="s">
        <v>6</v>
      </c>
      <c r="B7" s="5"/>
      <c r="C7" s="5"/>
      <c r="D7" s="5"/>
      <c r="E7" s="6"/>
      <c r="F7" s="3"/>
      <c r="G7" s="3"/>
      <c r="H7" s="3"/>
      <c r="I7" s="3"/>
      <c r="J7" s="3"/>
      <c r="K7" s="3"/>
    </row>
    <row r="8" ht="125.25" customHeight="1">
      <c r="A8" s="8" t="s">
        <v>7</v>
      </c>
      <c r="B8" s="5"/>
      <c r="C8" s="5"/>
      <c r="D8" s="5"/>
      <c r="E8" s="6"/>
      <c r="F8" s="3"/>
      <c r="G8" s="3"/>
      <c r="H8" s="3"/>
      <c r="I8" s="3"/>
      <c r="J8" s="3"/>
      <c r="K8" s="3"/>
    </row>
    <row r="9">
      <c r="A9" s="7" t="s">
        <v>8</v>
      </c>
      <c r="B9" s="5"/>
      <c r="C9" s="5"/>
      <c r="D9" s="5"/>
      <c r="E9" s="6"/>
      <c r="F9" s="3"/>
      <c r="G9" s="3"/>
      <c r="H9" s="3"/>
      <c r="I9" s="3"/>
      <c r="J9" s="3"/>
      <c r="K9" s="3"/>
    </row>
    <row r="10">
      <c r="A10" s="3" t="s">
        <v>9</v>
      </c>
      <c r="B10" s="3" t="s">
        <v>10</v>
      </c>
      <c r="C10" s="3"/>
      <c r="D10" s="3"/>
      <c r="E10" s="3"/>
      <c r="F10" s="3"/>
      <c r="G10" s="3"/>
      <c r="H10" s="3"/>
      <c r="I10" s="3"/>
      <c r="J10" s="3"/>
      <c r="K10" s="3"/>
    </row>
    <row r="11" ht="20.25" customHeight="1">
      <c r="A11" s="10"/>
      <c r="B11" s="11" t="s">
        <v>11</v>
      </c>
      <c r="C11" s="5"/>
      <c r="D11" s="5"/>
      <c r="E11" s="6"/>
      <c r="F11" s="3"/>
      <c r="G11" s="3"/>
      <c r="H11" s="3"/>
      <c r="I11" s="3"/>
      <c r="J11" s="3"/>
      <c r="K11" s="3"/>
    </row>
    <row r="12">
      <c r="A12" s="12"/>
      <c r="B12" s="11" t="s">
        <v>12</v>
      </c>
      <c r="C12" s="5"/>
      <c r="D12" s="5"/>
      <c r="E12" s="6"/>
      <c r="F12" s="3"/>
      <c r="G12" s="3"/>
      <c r="H12" s="3"/>
      <c r="I12" s="3"/>
      <c r="J12" s="3"/>
      <c r="K12" s="3"/>
    </row>
    <row r="13">
      <c r="A13" s="13"/>
      <c r="B13" s="5"/>
      <c r="C13" s="5"/>
      <c r="D13" s="5"/>
      <c r="E13" s="6"/>
      <c r="F13" s="3"/>
      <c r="G13" s="3"/>
      <c r="H13" s="3"/>
      <c r="I13" s="3"/>
      <c r="J13" s="3"/>
      <c r="K13" s="3"/>
    </row>
    <row r="14">
      <c r="A14" s="7" t="s">
        <v>13</v>
      </c>
      <c r="B14" s="5"/>
      <c r="C14" s="5"/>
      <c r="D14" s="5"/>
      <c r="E14" s="6"/>
      <c r="F14" s="3"/>
      <c r="G14" s="3"/>
      <c r="H14" s="3"/>
      <c r="I14" s="3"/>
      <c r="J14" s="3"/>
      <c r="K14" s="3"/>
    </row>
    <row r="15">
      <c r="A15" s="14" t="s">
        <v>14</v>
      </c>
      <c r="B15" s="14" t="s">
        <v>15</v>
      </c>
      <c r="C15" s="14" t="s">
        <v>16</v>
      </c>
      <c r="D15" s="14" t="s">
        <v>17</v>
      </c>
      <c r="E15" s="14" t="s">
        <v>18</v>
      </c>
      <c r="F15" s="3"/>
      <c r="G15" s="3"/>
      <c r="H15" s="3"/>
      <c r="I15" s="3"/>
      <c r="J15" s="3"/>
      <c r="K15" s="3"/>
    </row>
    <row r="16">
      <c r="A16" s="15" t="s">
        <v>19</v>
      </c>
      <c r="B16" s="15" t="s">
        <v>20</v>
      </c>
      <c r="C16" s="15"/>
      <c r="D16" s="15"/>
      <c r="E16" s="15"/>
      <c r="F16" s="3"/>
      <c r="G16" s="3"/>
      <c r="H16" s="3"/>
      <c r="I16" s="3"/>
      <c r="J16" s="3"/>
      <c r="K16" s="3"/>
    </row>
    <row r="17">
      <c r="A17" s="16" t="s">
        <v>21</v>
      </c>
      <c r="B17" s="17" t="s">
        <v>22</v>
      </c>
      <c r="C17" s="17" t="s">
        <v>23</v>
      </c>
      <c r="D17" s="17" t="s">
        <v>24</v>
      </c>
      <c r="E17" s="17"/>
      <c r="F17" s="3"/>
      <c r="G17" s="3"/>
      <c r="H17" s="3"/>
      <c r="I17" s="3"/>
      <c r="J17" s="3"/>
      <c r="K17" s="3"/>
    </row>
    <row r="18">
      <c r="A18" s="16" t="s">
        <v>25</v>
      </c>
      <c r="B18" s="17" t="s">
        <v>26</v>
      </c>
      <c r="C18" s="17" t="s">
        <v>27</v>
      </c>
      <c r="D18" s="17" t="s">
        <v>28</v>
      </c>
      <c r="E18" s="17"/>
      <c r="F18" s="3"/>
      <c r="G18" s="3"/>
      <c r="H18" s="3"/>
      <c r="I18" s="3"/>
      <c r="J18" s="3"/>
      <c r="K18" s="3"/>
    </row>
    <row r="19" ht="26.25" customHeight="1">
      <c r="A19" s="16" t="s">
        <v>29</v>
      </c>
      <c r="B19" s="18" t="s">
        <v>30</v>
      </c>
      <c r="C19" s="17" t="s">
        <v>31</v>
      </c>
      <c r="D19" s="17" t="s">
        <v>32</v>
      </c>
      <c r="E19" s="17" t="s">
        <v>33</v>
      </c>
      <c r="F19" s="3"/>
      <c r="G19" s="3"/>
      <c r="H19" s="3"/>
      <c r="I19" s="3"/>
      <c r="J19" s="3"/>
      <c r="K19" s="3"/>
    </row>
    <row r="20">
      <c r="A20" s="16" t="s">
        <v>34</v>
      </c>
      <c r="B20" s="17" t="s">
        <v>35</v>
      </c>
      <c r="C20" s="17"/>
      <c r="D20" s="17"/>
      <c r="E20" s="17"/>
      <c r="F20" s="3"/>
      <c r="G20" s="3"/>
      <c r="H20" s="3"/>
      <c r="I20" s="3"/>
      <c r="J20" s="3"/>
      <c r="K20" s="3"/>
    </row>
    <row r="21" ht="15.75" customHeight="1">
      <c r="A21" s="17">
        <v>4.1</v>
      </c>
      <c r="B21" s="17" t="s">
        <v>36</v>
      </c>
      <c r="C21" s="19" t="s">
        <v>37</v>
      </c>
      <c r="D21" s="17" t="s">
        <v>38</v>
      </c>
      <c r="E21" s="17"/>
      <c r="F21" s="3"/>
      <c r="G21" s="3"/>
      <c r="H21" s="3"/>
      <c r="I21" s="3"/>
      <c r="J21" s="3"/>
      <c r="K21" s="3"/>
    </row>
    <row r="22" ht="15.75" customHeight="1">
      <c r="A22" s="17">
        <v>4.2</v>
      </c>
      <c r="B22" s="17" t="s">
        <v>39</v>
      </c>
      <c r="C22" s="20"/>
      <c r="D22" s="17" t="s">
        <v>40</v>
      </c>
      <c r="E22" s="17"/>
      <c r="F22" s="3"/>
      <c r="G22" s="3"/>
      <c r="H22" s="3"/>
      <c r="I22" s="3"/>
      <c r="J22" s="3"/>
      <c r="K22" s="3"/>
    </row>
    <row r="23" ht="15.75" customHeight="1">
      <c r="A23" s="17">
        <v>4.3</v>
      </c>
      <c r="B23" s="17" t="s">
        <v>41</v>
      </c>
      <c r="C23" s="20"/>
      <c r="D23" s="17" t="s">
        <v>42</v>
      </c>
      <c r="E23" s="17"/>
      <c r="F23" s="3"/>
      <c r="G23" s="3"/>
      <c r="H23" s="3"/>
      <c r="I23" s="3"/>
      <c r="J23" s="3"/>
      <c r="K23" s="3"/>
    </row>
    <row r="24" ht="15.75" customHeight="1">
      <c r="A24" s="17">
        <v>4.4</v>
      </c>
      <c r="B24" s="17" t="s">
        <v>43</v>
      </c>
      <c r="C24" s="20"/>
      <c r="D24" s="17" t="s">
        <v>44</v>
      </c>
      <c r="E24" s="17"/>
      <c r="F24" s="3"/>
      <c r="G24" s="3"/>
      <c r="H24" s="3"/>
      <c r="I24" s="3"/>
      <c r="J24" s="3"/>
      <c r="K24" s="3"/>
    </row>
    <row r="25" ht="15.75" customHeight="1">
      <c r="A25" s="17">
        <v>4.5</v>
      </c>
      <c r="B25" s="17" t="s">
        <v>45</v>
      </c>
      <c r="C25" s="20"/>
      <c r="D25" s="17" t="s">
        <v>46</v>
      </c>
      <c r="E25" s="17"/>
      <c r="F25" s="3"/>
      <c r="G25" s="3"/>
      <c r="H25" s="3"/>
      <c r="I25" s="3"/>
      <c r="J25" s="3"/>
      <c r="K25" s="3"/>
    </row>
    <row r="26" ht="15.75" customHeight="1">
      <c r="A26" s="17">
        <v>4.6</v>
      </c>
      <c r="B26" s="17" t="s">
        <v>47</v>
      </c>
      <c r="C26" s="21"/>
      <c r="D26" s="17" t="s">
        <v>48</v>
      </c>
      <c r="E26" s="17"/>
      <c r="F26" s="3"/>
      <c r="G26" s="3"/>
      <c r="H26" s="3"/>
      <c r="I26" s="3"/>
      <c r="J26" s="3"/>
      <c r="K26" s="3"/>
    </row>
    <row r="27" ht="15.75" customHeight="1">
      <c r="A27" s="16" t="s">
        <v>49</v>
      </c>
      <c r="B27" s="17" t="s">
        <v>50</v>
      </c>
      <c r="C27" s="17" t="s">
        <v>51</v>
      </c>
      <c r="D27" s="17" t="s">
        <v>52</v>
      </c>
      <c r="E27" s="17"/>
      <c r="F27" s="3"/>
      <c r="G27" s="3"/>
      <c r="H27" s="3"/>
      <c r="I27" s="3"/>
      <c r="J27" s="3"/>
      <c r="K27" s="3"/>
    </row>
    <row r="28" ht="15.75" customHeight="1">
      <c r="A28" s="16" t="s">
        <v>53</v>
      </c>
      <c r="B28" s="17" t="s">
        <v>54</v>
      </c>
      <c r="C28" s="17" t="s">
        <v>55</v>
      </c>
      <c r="D28" s="17" t="s">
        <v>56</v>
      </c>
      <c r="E28" s="17"/>
      <c r="F28" s="3"/>
      <c r="G28" s="3"/>
      <c r="H28" s="3"/>
      <c r="I28" s="3"/>
      <c r="J28" s="3"/>
      <c r="K28" s="3"/>
    </row>
    <row r="29" ht="15.75" customHeight="1">
      <c r="A29" s="16" t="s">
        <v>57</v>
      </c>
      <c r="B29" s="17" t="s">
        <v>58</v>
      </c>
      <c r="C29" s="17" t="s">
        <v>59</v>
      </c>
      <c r="D29" s="17" t="s">
        <v>60</v>
      </c>
      <c r="E29" s="17"/>
      <c r="F29" s="3"/>
      <c r="G29" s="3"/>
      <c r="H29" s="3"/>
      <c r="I29" s="3"/>
      <c r="J29" s="3"/>
      <c r="K29" s="3"/>
    </row>
    <row r="30" ht="15.75" customHeight="1">
      <c r="A30" s="15" t="s">
        <v>61</v>
      </c>
      <c r="B30" s="22" t="s">
        <v>62</v>
      </c>
      <c r="C30" s="15"/>
      <c r="D30" s="15"/>
      <c r="E30" s="15"/>
      <c r="F30" s="3"/>
      <c r="G30" s="3"/>
      <c r="H30" s="3"/>
      <c r="I30" s="3"/>
      <c r="J30" s="3"/>
      <c r="K30" s="3"/>
    </row>
    <row r="31" ht="26.25" customHeight="1">
      <c r="A31" s="23" t="s">
        <v>63</v>
      </c>
      <c r="B31" s="17" t="s">
        <v>64</v>
      </c>
      <c r="C31" s="17"/>
      <c r="D31" s="17" t="s">
        <v>65</v>
      </c>
      <c r="E31" s="17" t="s">
        <v>33</v>
      </c>
      <c r="F31" s="3"/>
      <c r="G31" s="3"/>
      <c r="H31" s="3"/>
      <c r="I31" s="3"/>
      <c r="J31" s="3"/>
      <c r="K31" s="3"/>
    </row>
    <row r="32" ht="15.75" customHeight="1">
      <c r="A32" s="23" t="s">
        <v>66</v>
      </c>
      <c r="B32" s="17" t="s">
        <v>67</v>
      </c>
      <c r="C32" s="17"/>
      <c r="D32" s="17" t="s">
        <v>68</v>
      </c>
      <c r="E32" s="17" t="s">
        <v>33</v>
      </c>
      <c r="F32" s="3"/>
      <c r="G32" s="3"/>
      <c r="H32" s="3"/>
      <c r="I32" s="3"/>
      <c r="J32" s="3"/>
      <c r="K32" s="3"/>
    </row>
    <row r="33" ht="15.75" customHeight="1">
      <c r="A33" s="23" t="s">
        <v>69</v>
      </c>
      <c r="B33" s="17" t="s">
        <v>70</v>
      </c>
      <c r="C33" s="17"/>
      <c r="D33" s="17" t="s">
        <v>71</v>
      </c>
      <c r="E33" s="17" t="s">
        <v>33</v>
      </c>
      <c r="F33" s="3"/>
      <c r="G33" s="3"/>
      <c r="H33" s="3"/>
      <c r="I33" s="3"/>
      <c r="J33" s="3"/>
      <c r="K33" s="3"/>
    </row>
    <row r="34" ht="35.25" customHeight="1">
      <c r="A34" s="23" t="s">
        <v>72</v>
      </c>
      <c r="B34" s="17" t="s">
        <v>73</v>
      </c>
      <c r="C34" s="17"/>
      <c r="D34" s="17" t="s">
        <v>74</v>
      </c>
      <c r="E34" s="17" t="s">
        <v>33</v>
      </c>
      <c r="F34" s="3"/>
      <c r="G34" s="3"/>
      <c r="H34" s="3"/>
      <c r="I34" s="3"/>
      <c r="J34" s="3"/>
      <c r="K34" s="3"/>
    </row>
    <row r="35" ht="35.25" customHeight="1">
      <c r="A35" s="23" t="s">
        <v>75</v>
      </c>
      <c r="B35" s="17" t="s">
        <v>76</v>
      </c>
      <c r="C35" s="17"/>
      <c r="D35" s="17" t="s">
        <v>77</v>
      </c>
      <c r="E35" s="17" t="s">
        <v>33</v>
      </c>
      <c r="F35" s="3"/>
      <c r="G35" s="3"/>
      <c r="H35" s="3"/>
      <c r="I35" s="3"/>
      <c r="J35" s="3"/>
      <c r="K35" s="3"/>
    </row>
    <row r="36" ht="15.75" customHeight="1">
      <c r="A36" s="16" t="s">
        <v>78</v>
      </c>
      <c r="B36" s="17" t="s">
        <v>79</v>
      </c>
      <c r="C36" s="17"/>
      <c r="D36" s="17"/>
      <c r="E36" s="17"/>
      <c r="F36" s="3"/>
      <c r="G36" s="3"/>
      <c r="H36" s="3"/>
      <c r="I36" s="3"/>
      <c r="J36" s="3"/>
      <c r="K36" s="3"/>
    </row>
    <row r="37" ht="15.75" customHeight="1">
      <c r="A37" s="24"/>
      <c r="F37" s="3"/>
      <c r="G37" s="3"/>
      <c r="H37" s="3"/>
      <c r="I37" s="3"/>
      <c r="J37" s="3"/>
      <c r="K37" s="3"/>
    </row>
    <row r="38" ht="15.75" customHeight="1">
      <c r="A38" s="3"/>
      <c r="B38" s="3"/>
      <c r="C38" s="3"/>
      <c r="D38" s="3"/>
      <c r="E38" s="3"/>
      <c r="F38" s="3"/>
      <c r="G38" s="3"/>
      <c r="H38" s="3"/>
      <c r="I38" s="3"/>
      <c r="J38" s="3"/>
      <c r="K38" s="3"/>
    </row>
    <row r="39" ht="15.75" customHeight="1">
      <c r="A39" s="3"/>
      <c r="B39" s="3"/>
      <c r="C39" s="3"/>
      <c r="D39" s="3"/>
      <c r="E39" s="3"/>
      <c r="F39" s="3"/>
      <c r="G39" s="3"/>
      <c r="H39" s="3"/>
      <c r="I39" s="3"/>
      <c r="J39" s="3"/>
      <c r="K39" s="3"/>
    </row>
    <row r="40" ht="15.75" customHeight="1">
      <c r="A40" s="3"/>
      <c r="B40" s="3"/>
      <c r="C40" s="3"/>
      <c r="D40" s="3"/>
      <c r="E40" s="3"/>
      <c r="F40" s="3"/>
      <c r="G40" s="3"/>
      <c r="H40" s="3"/>
      <c r="I40" s="3"/>
      <c r="J40" s="3"/>
      <c r="K40" s="3"/>
    </row>
    <row r="41" ht="15.75" customHeight="1">
      <c r="A41" s="3"/>
      <c r="B41" s="3"/>
      <c r="C41" s="3"/>
      <c r="D41" s="3"/>
      <c r="E41" s="3"/>
      <c r="F41" s="3"/>
      <c r="G41" s="3"/>
      <c r="H41" s="3"/>
      <c r="I41" s="3"/>
      <c r="J41" s="3"/>
      <c r="K41" s="3"/>
    </row>
    <row r="42" ht="15.75" customHeight="1">
      <c r="A42" s="3"/>
      <c r="B42" s="3"/>
      <c r="C42" s="3"/>
      <c r="D42" s="3"/>
      <c r="E42" s="3"/>
      <c r="F42" s="3"/>
      <c r="G42" s="3"/>
      <c r="H42" s="3"/>
      <c r="I42" s="3"/>
      <c r="J42" s="3"/>
      <c r="K42" s="3"/>
    </row>
    <row r="43" ht="15.75" customHeight="1">
      <c r="A43" s="3"/>
      <c r="B43" s="3"/>
      <c r="C43" s="3"/>
      <c r="D43" s="3"/>
      <c r="E43" s="3"/>
      <c r="F43" s="3"/>
      <c r="G43" s="3"/>
      <c r="H43" s="3"/>
      <c r="I43" s="3"/>
      <c r="J43" s="3"/>
      <c r="K43" s="3"/>
    </row>
    <row r="44" ht="15.75" customHeight="1">
      <c r="A44" s="3"/>
      <c r="B44" s="3"/>
      <c r="C44" s="3"/>
      <c r="D44" s="3"/>
      <c r="E44" s="3"/>
      <c r="F44" s="3"/>
      <c r="G44" s="3"/>
      <c r="H44" s="3"/>
      <c r="I44" s="3"/>
      <c r="J44" s="3"/>
      <c r="K44" s="3"/>
    </row>
    <row r="45" ht="15.75" customHeight="1">
      <c r="A45" s="3"/>
      <c r="B45" s="3"/>
      <c r="C45" s="3"/>
      <c r="D45" s="3"/>
      <c r="E45" s="3"/>
      <c r="F45" s="3"/>
      <c r="G45" s="3"/>
      <c r="H45" s="3"/>
      <c r="I45" s="3"/>
      <c r="J45" s="3"/>
      <c r="K45" s="3"/>
    </row>
    <row r="46" ht="15.75" customHeight="1">
      <c r="A46" s="3"/>
      <c r="B46" s="3"/>
      <c r="C46" s="3"/>
      <c r="D46" s="3"/>
      <c r="E46" s="3"/>
      <c r="F46" s="3"/>
      <c r="G46" s="3"/>
      <c r="H46" s="3"/>
      <c r="I46" s="3"/>
      <c r="J46" s="3"/>
      <c r="K46" s="3"/>
    </row>
    <row r="47" ht="15.75" customHeight="1">
      <c r="A47" s="3"/>
      <c r="B47" s="3"/>
      <c r="C47" s="3"/>
      <c r="D47" s="3"/>
      <c r="E47" s="3"/>
      <c r="F47" s="3"/>
      <c r="G47" s="3"/>
      <c r="H47" s="3"/>
      <c r="I47" s="3"/>
      <c r="J47" s="3"/>
      <c r="K47" s="3"/>
    </row>
    <row r="48" ht="15.75" customHeight="1">
      <c r="A48" s="3"/>
      <c r="B48" s="3"/>
      <c r="C48" s="3"/>
      <c r="D48" s="3"/>
      <c r="E48" s="3"/>
      <c r="F48" s="3"/>
      <c r="G48" s="3"/>
      <c r="H48" s="3"/>
      <c r="I48" s="3"/>
      <c r="J48" s="3"/>
      <c r="K48" s="3"/>
    </row>
    <row r="49" ht="15.75" customHeight="1">
      <c r="A49" s="3"/>
      <c r="B49" s="3"/>
      <c r="C49" s="3"/>
      <c r="D49" s="3"/>
      <c r="E49" s="3"/>
      <c r="F49" s="3"/>
      <c r="G49" s="3"/>
      <c r="H49" s="3"/>
      <c r="I49" s="3"/>
      <c r="J49" s="3"/>
      <c r="K49" s="3"/>
    </row>
    <row r="50" ht="15.75" customHeight="1">
      <c r="A50" s="3"/>
      <c r="B50" s="3"/>
      <c r="C50" s="3"/>
      <c r="D50" s="3"/>
      <c r="E50" s="3"/>
      <c r="F50" s="3"/>
      <c r="G50" s="3"/>
      <c r="H50" s="3"/>
      <c r="I50" s="3"/>
      <c r="J50" s="3"/>
      <c r="K50" s="3"/>
    </row>
    <row r="51" ht="15.75" customHeight="1">
      <c r="A51" s="3"/>
      <c r="B51" s="3"/>
      <c r="C51" s="3"/>
      <c r="D51" s="3"/>
      <c r="E51" s="3"/>
      <c r="F51" s="3"/>
      <c r="G51" s="3"/>
      <c r="H51" s="3"/>
      <c r="I51" s="3"/>
      <c r="J51" s="3"/>
      <c r="K51" s="3"/>
    </row>
    <row r="52" ht="15.75" customHeight="1">
      <c r="A52" s="3"/>
      <c r="B52" s="3"/>
      <c r="C52" s="3"/>
      <c r="D52" s="3"/>
      <c r="E52" s="3"/>
      <c r="F52" s="3"/>
      <c r="G52" s="3"/>
      <c r="H52" s="3"/>
      <c r="I52" s="3"/>
      <c r="J52" s="3"/>
      <c r="K52" s="3"/>
    </row>
    <row r="53" ht="15.75" customHeight="1">
      <c r="A53" s="3"/>
      <c r="B53" s="3"/>
      <c r="C53" s="3"/>
      <c r="D53" s="3"/>
      <c r="E53" s="3"/>
      <c r="F53" s="3"/>
      <c r="G53" s="3"/>
      <c r="H53" s="3"/>
      <c r="I53" s="3"/>
      <c r="J53" s="3"/>
      <c r="K53" s="3"/>
    </row>
    <row r="54" ht="15.75" customHeight="1">
      <c r="A54" s="3"/>
      <c r="B54" s="3"/>
      <c r="C54" s="3"/>
      <c r="D54" s="3"/>
      <c r="E54" s="3"/>
      <c r="F54" s="3"/>
      <c r="G54" s="3"/>
      <c r="H54" s="3"/>
      <c r="I54" s="3"/>
      <c r="J54" s="3"/>
      <c r="K54" s="3"/>
    </row>
    <row r="55" ht="15.75" customHeight="1">
      <c r="A55" s="3"/>
      <c r="B55" s="3"/>
      <c r="C55" s="3"/>
      <c r="D55" s="3"/>
      <c r="E55" s="3"/>
      <c r="F55" s="3"/>
      <c r="G55" s="3"/>
      <c r="H55" s="3"/>
      <c r="I55" s="3"/>
      <c r="J55" s="3"/>
      <c r="K55" s="3"/>
    </row>
    <row r="56" ht="15.75" customHeight="1">
      <c r="A56" s="3"/>
      <c r="B56" s="3"/>
      <c r="C56" s="3"/>
      <c r="D56" s="3"/>
      <c r="E56" s="3"/>
      <c r="F56" s="3"/>
      <c r="G56" s="3"/>
      <c r="H56" s="3"/>
      <c r="I56" s="3"/>
      <c r="J56" s="3"/>
      <c r="K56" s="3"/>
    </row>
    <row r="57" ht="15.75" customHeight="1">
      <c r="A57" s="3"/>
      <c r="B57" s="3"/>
      <c r="C57" s="3"/>
      <c r="D57" s="3"/>
      <c r="E57" s="3"/>
      <c r="F57" s="3"/>
      <c r="G57" s="3"/>
      <c r="H57" s="3"/>
      <c r="I57" s="3"/>
      <c r="J57" s="3"/>
      <c r="K57" s="3"/>
    </row>
    <row r="58" ht="15.75" customHeight="1">
      <c r="A58" s="3"/>
      <c r="B58" s="3"/>
      <c r="C58" s="3"/>
      <c r="D58" s="3"/>
      <c r="E58" s="3"/>
      <c r="F58" s="3"/>
      <c r="G58" s="3"/>
      <c r="H58" s="3"/>
      <c r="I58" s="3"/>
      <c r="J58" s="3"/>
      <c r="K58" s="3"/>
    </row>
    <row r="59" ht="15.75" customHeight="1">
      <c r="A59" s="3"/>
      <c r="B59" s="3"/>
      <c r="C59" s="3"/>
      <c r="D59" s="3"/>
      <c r="E59" s="3"/>
      <c r="F59" s="3"/>
      <c r="G59" s="3"/>
      <c r="H59" s="3"/>
      <c r="I59" s="3"/>
      <c r="J59" s="3"/>
      <c r="K59" s="3"/>
    </row>
    <row r="60" ht="15.75" customHeight="1">
      <c r="A60" s="3"/>
      <c r="B60" s="3"/>
      <c r="C60" s="3"/>
      <c r="D60" s="3"/>
      <c r="E60" s="3"/>
      <c r="F60" s="3"/>
      <c r="G60" s="3"/>
      <c r="H60" s="3"/>
      <c r="I60" s="3"/>
      <c r="J60" s="3"/>
      <c r="K60" s="3"/>
    </row>
    <row r="61" ht="15.75" customHeight="1">
      <c r="A61" s="3"/>
      <c r="B61" s="3"/>
      <c r="C61" s="3"/>
      <c r="D61" s="3"/>
      <c r="E61" s="3"/>
      <c r="F61" s="3"/>
      <c r="G61" s="3"/>
      <c r="H61" s="3"/>
      <c r="I61" s="3"/>
      <c r="J61" s="3"/>
      <c r="K61" s="3"/>
    </row>
    <row r="62" ht="15.75" customHeight="1">
      <c r="A62" s="3"/>
      <c r="B62" s="3"/>
      <c r="C62" s="3"/>
      <c r="D62" s="3"/>
      <c r="E62" s="3"/>
      <c r="F62" s="3"/>
      <c r="G62" s="3"/>
      <c r="H62" s="3"/>
      <c r="I62" s="3"/>
      <c r="J62" s="3"/>
      <c r="K62" s="3"/>
    </row>
    <row r="63" ht="15.75" customHeight="1">
      <c r="A63" s="3"/>
      <c r="B63" s="3"/>
      <c r="C63" s="3"/>
      <c r="D63" s="3"/>
      <c r="E63" s="3"/>
      <c r="F63" s="3"/>
      <c r="G63" s="3"/>
      <c r="H63" s="3"/>
      <c r="I63" s="3"/>
      <c r="J63" s="3"/>
      <c r="K63" s="3"/>
    </row>
    <row r="64" ht="15.75" customHeight="1">
      <c r="A64" s="3"/>
      <c r="B64" s="3"/>
      <c r="C64" s="3"/>
      <c r="D64" s="3"/>
      <c r="E64" s="3"/>
      <c r="F64" s="3"/>
      <c r="G64" s="3"/>
      <c r="H64" s="3"/>
      <c r="I64" s="3"/>
      <c r="J64" s="3"/>
      <c r="K64" s="3"/>
    </row>
    <row r="65" ht="15.75" customHeight="1">
      <c r="A65" s="3"/>
      <c r="B65" s="3"/>
      <c r="C65" s="3"/>
      <c r="D65" s="3"/>
      <c r="E65" s="3"/>
      <c r="F65" s="3"/>
      <c r="G65" s="3"/>
      <c r="H65" s="3"/>
      <c r="I65" s="3"/>
      <c r="J65" s="3"/>
      <c r="K65" s="3"/>
    </row>
    <row r="66" ht="15.75" customHeight="1">
      <c r="A66" s="3"/>
      <c r="B66" s="3"/>
      <c r="C66" s="3"/>
      <c r="D66" s="3"/>
      <c r="E66" s="3"/>
      <c r="F66" s="3"/>
      <c r="G66" s="3"/>
      <c r="H66" s="3"/>
      <c r="I66" s="3"/>
      <c r="J66" s="3"/>
      <c r="K66" s="3"/>
    </row>
    <row r="67" ht="15.75" customHeight="1">
      <c r="A67" s="3"/>
      <c r="B67" s="3"/>
      <c r="C67" s="3"/>
      <c r="D67" s="3"/>
      <c r="E67" s="3"/>
      <c r="F67" s="3"/>
      <c r="G67" s="3"/>
      <c r="H67" s="3"/>
      <c r="I67" s="3"/>
      <c r="J67" s="3"/>
      <c r="K67" s="3"/>
    </row>
    <row r="68" ht="15.75" customHeight="1">
      <c r="A68" s="3"/>
      <c r="B68" s="3"/>
      <c r="C68" s="3"/>
      <c r="D68" s="3"/>
      <c r="E68" s="3"/>
      <c r="F68" s="3"/>
      <c r="G68" s="3"/>
      <c r="H68" s="3"/>
      <c r="I68" s="3"/>
      <c r="J68" s="3"/>
      <c r="K68" s="3"/>
    </row>
    <row r="69" ht="15.75" customHeight="1">
      <c r="A69" s="3"/>
      <c r="B69" s="3"/>
      <c r="C69" s="3"/>
      <c r="D69" s="3"/>
      <c r="E69" s="3"/>
      <c r="F69" s="3"/>
      <c r="G69" s="3"/>
      <c r="H69" s="3"/>
      <c r="I69" s="3"/>
      <c r="J69" s="3"/>
      <c r="K69" s="3"/>
    </row>
    <row r="70" ht="15.75" customHeight="1">
      <c r="A70" s="3"/>
      <c r="B70" s="3"/>
      <c r="C70" s="3"/>
      <c r="D70" s="3"/>
      <c r="E70" s="3"/>
      <c r="F70" s="3"/>
      <c r="G70" s="3"/>
      <c r="H70" s="3"/>
      <c r="I70" s="3"/>
      <c r="J70" s="3"/>
      <c r="K70" s="3"/>
    </row>
    <row r="71" ht="15.75" customHeight="1">
      <c r="A71" s="3"/>
      <c r="B71" s="3"/>
      <c r="C71" s="3"/>
      <c r="D71" s="3"/>
      <c r="E71" s="3"/>
      <c r="F71" s="3"/>
      <c r="G71" s="3"/>
      <c r="H71" s="3"/>
      <c r="I71" s="3"/>
      <c r="J71" s="3"/>
      <c r="K71" s="3"/>
    </row>
    <row r="72" ht="15.75" customHeight="1">
      <c r="A72" s="3"/>
      <c r="B72" s="3"/>
      <c r="C72" s="3"/>
      <c r="D72" s="3"/>
      <c r="E72" s="3"/>
      <c r="F72" s="3"/>
      <c r="G72" s="3"/>
      <c r="H72" s="3"/>
      <c r="I72" s="3"/>
      <c r="J72" s="3"/>
      <c r="K72" s="3"/>
    </row>
    <row r="73" ht="15.75" customHeight="1">
      <c r="A73" s="3"/>
      <c r="B73" s="3"/>
      <c r="C73" s="3"/>
      <c r="D73" s="3"/>
      <c r="E73" s="3"/>
      <c r="F73" s="3"/>
      <c r="G73" s="3"/>
      <c r="H73" s="3"/>
      <c r="I73" s="3"/>
      <c r="J73" s="3"/>
      <c r="K73" s="3"/>
    </row>
    <row r="74" ht="15.75" customHeight="1">
      <c r="A74" s="3"/>
      <c r="B74" s="3"/>
      <c r="C74" s="3"/>
      <c r="D74" s="3"/>
      <c r="E74" s="3"/>
      <c r="F74" s="3"/>
      <c r="G74" s="3"/>
      <c r="H74" s="3"/>
      <c r="I74" s="3"/>
      <c r="J74" s="3"/>
      <c r="K74" s="3"/>
    </row>
    <row r="75" ht="15.75" customHeight="1">
      <c r="A75" s="3"/>
      <c r="B75" s="3"/>
      <c r="C75" s="3"/>
      <c r="D75" s="3"/>
      <c r="E75" s="3"/>
      <c r="F75" s="3"/>
      <c r="G75" s="3"/>
      <c r="H75" s="3"/>
      <c r="I75" s="3"/>
      <c r="J75" s="3"/>
      <c r="K75" s="3"/>
    </row>
    <row r="76" ht="15.75" customHeight="1">
      <c r="A76" s="3"/>
      <c r="B76" s="3"/>
      <c r="C76" s="3"/>
      <c r="D76" s="3"/>
      <c r="E76" s="3"/>
      <c r="F76" s="3"/>
      <c r="G76" s="3"/>
      <c r="H76" s="3"/>
      <c r="I76" s="3"/>
      <c r="J76" s="3"/>
      <c r="K76" s="3"/>
    </row>
    <row r="77" ht="15.75" customHeight="1">
      <c r="A77" s="3"/>
      <c r="B77" s="3"/>
      <c r="C77" s="3"/>
      <c r="D77" s="3"/>
      <c r="E77" s="3"/>
      <c r="F77" s="3"/>
      <c r="G77" s="3"/>
      <c r="H77" s="3"/>
      <c r="I77" s="3"/>
      <c r="J77" s="3"/>
      <c r="K77" s="3"/>
    </row>
    <row r="78" ht="15.75" customHeight="1">
      <c r="A78" s="3"/>
      <c r="B78" s="3"/>
      <c r="C78" s="3"/>
      <c r="D78" s="3"/>
      <c r="E78" s="3"/>
      <c r="F78" s="3"/>
      <c r="G78" s="3"/>
      <c r="H78" s="3"/>
      <c r="I78" s="3"/>
      <c r="J78" s="3"/>
      <c r="K78" s="3"/>
    </row>
    <row r="79" ht="15.75" customHeight="1">
      <c r="A79" s="3"/>
      <c r="B79" s="3"/>
      <c r="C79" s="3"/>
      <c r="D79" s="3"/>
      <c r="E79" s="3"/>
      <c r="F79" s="3"/>
      <c r="G79" s="3"/>
      <c r="H79" s="3"/>
      <c r="I79" s="3"/>
      <c r="J79" s="3"/>
      <c r="K79" s="3"/>
    </row>
    <row r="80" ht="15.75" customHeight="1">
      <c r="A80" s="3"/>
      <c r="B80" s="3"/>
      <c r="C80" s="3"/>
      <c r="D80" s="3"/>
      <c r="E80" s="3"/>
      <c r="F80" s="3"/>
      <c r="G80" s="3"/>
      <c r="H80" s="3"/>
      <c r="I80" s="3"/>
      <c r="J80" s="3"/>
      <c r="K80" s="3"/>
    </row>
    <row r="81" ht="15.75" customHeight="1">
      <c r="A81" s="3"/>
      <c r="B81" s="3"/>
      <c r="C81" s="3"/>
      <c r="D81" s="3"/>
      <c r="E81" s="3"/>
      <c r="F81" s="3"/>
      <c r="G81" s="3"/>
      <c r="H81" s="3"/>
      <c r="I81" s="3"/>
      <c r="J81" s="3"/>
      <c r="K81" s="3"/>
    </row>
    <row r="82" ht="15.75" customHeight="1">
      <c r="A82" s="3"/>
      <c r="B82" s="3"/>
      <c r="C82" s="3"/>
      <c r="D82" s="3"/>
      <c r="E82" s="3"/>
      <c r="F82" s="3"/>
      <c r="G82" s="3"/>
      <c r="H82" s="3"/>
      <c r="I82" s="3"/>
      <c r="J82" s="3"/>
      <c r="K82" s="3"/>
    </row>
    <row r="83" ht="15.75" customHeight="1">
      <c r="A83" s="3"/>
      <c r="B83" s="3"/>
      <c r="C83" s="3"/>
      <c r="D83" s="3"/>
      <c r="E83" s="3"/>
      <c r="F83" s="3"/>
      <c r="G83" s="3"/>
      <c r="H83" s="3"/>
      <c r="I83" s="3"/>
      <c r="J83" s="3"/>
      <c r="K83" s="3"/>
    </row>
    <row r="84" ht="15.75" customHeight="1">
      <c r="A84" s="3"/>
      <c r="B84" s="3"/>
      <c r="C84" s="3"/>
      <c r="D84" s="3"/>
      <c r="E84" s="3"/>
      <c r="F84" s="3"/>
      <c r="G84" s="3"/>
      <c r="H84" s="3"/>
      <c r="I84" s="3"/>
      <c r="J84" s="3"/>
      <c r="K84" s="3"/>
    </row>
    <row r="85" ht="15.75" customHeight="1">
      <c r="A85" s="3"/>
      <c r="B85" s="3"/>
      <c r="C85" s="3"/>
      <c r="D85" s="3"/>
      <c r="E85" s="3"/>
      <c r="F85" s="3"/>
      <c r="G85" s="3"/>
      <c r="H85" s="3"/>
      <c r="I85" s="3"/>
      <c r="J85" s="3"/>
      <c r="K85" s="3"/>
    </row>
    <row r="86" ht="15.75" customHeight="1">
      <c r="A86" s="3"/>
      <c r="B86" s="3"/>
      <c r="C86" s="3"/>
      <c r="D86" s="3"/>
      <c r="E86" s="3"/>
      <c r="F86" s="3"/>
      <c r="G86" s="3"/>
      <c r="H86" s="3"/>
      <c r="I86" s="3"/>
      <c r="J86" s="3"/>
      <c r="K86" s="3"/>
    </row>
    <row r="87" ht="15.75" customHeight="1">
      <c r="A87" s="3"/>
      <c r="B87" s="3"/>
      <c r="C87" s="3"/>
      <c r="D87" s="3"/>
      <c r="E87" s="3"/>
      <c r="F87" s="3"/>
      <c r="G87" s="3"/>
      <c r="H87" s="3"/>
      <c r="I87" s="3"/>
      <c r="J87" s="3"/>
      <c r="K87" s="3"/>
    </row>
    <row r="88" ht="15.75" customHeight="1">
      <c r="A88" s="3"/>
      <c r="B88" s="3"/>
      <c r="C88" s="3"/>
      <c r="D88" s="3"/>
      <c r="E88" s="3"/>
      <c r="F88" s="3"/>
      <c r="G88" s="3"/>
      <c r="H88" s="3"/>
      <c r="I88" s="3"/>
      <c r="J88" s="3"/>
      <c r="K88" s="3"/>
    </row>
    <row r="89" ht="15.75" customHeight="1">
      <c r="A89" s="3"/>
      <c r="B89" s="3"/>
      <c r="C89" s="3"/>
      <c r="D89" s="3"/>
      <c r="E89" s="3"/>
      <c r="F89" s="3"/>
      <c r="G89" s="3"/>
      <c r="H89" s="3"/>
      <c r="I89" s="3"/>
      <c r="J89" s="3"/>
      <c r="K89" s="3"/>
    </row>
    <row r="90" ht="15.75" customHeight="1">
      <c r="A90" s="3"/>
      <c r="B90" s="3"/>
      <c r="C90" s="3"/>
      <c r="D90" s="3"/>
      <c r="E90" s="3"/>
      <c r="F90" s="3"/>
      <c r="G90" s="3"/>
      <c r="H90" s="3"/>
      <c r="I90" s="3"/>
      <c r="J90" s="3"/>
      <c r="K90" s="3"/>
    </row>
    <row r="91" ht="15.75" customHeight="1">
      <c r="A91" s="3"/>
      <c r="B91" s="3"/>
      <c r="C91" s="3"/>
      <c r="D91" s="3"/>
      <c r="E91" s="3"/>
      <c r="F91" s="3"/>
      <c r="G91" s="3"/>
      <c r="H91" s="3"/>
      <c r="I91" s="3"/>
      <c r="J91" s="3"/>
      <c r="K91" s="3"/>
    </row>
    <row r="92" ht="15.75" customHeight="1">
      <c r="A92" s="3"/>
      <c r="B92" s="3"/>
      <c r="C92" s="3"/>
      <c r="D92" s="3"/>
      <c r="E92" s="3"/>
      <c r="F92" s="3"/>
      <c r="G92" s="3"/>
      <c r="H92" s="3"/>
      <c r="I92" s="3"/>
      <c r="J92" s="3"/>
      <c r="K92" s="3"/>
    </row>
    <row r="93" ht="15.75" customHeight="1">
      <c r="A93" s="3"/>
      <c r="B93" s="3"/>
      <c r="C93" s="3"/>
      <c r="D93" s="3"/>
      <c r="E93" s="3"/>
      <c r="F93" s="3"/>
      <c r="G93" s="3"/>
      <c r="H93" s="3"/>
      <c r="I93" s="3"/>
      <c r="J93" s="3"/>
      <c r="K93" s="3"/>
    </row>
    <row r="94" ht="15.75" customHeight="1">
      <c r="A94" s="3"/>
      <c r="B94" s="3"/>
      <c r="C94" s="3"/>
      <c r="D94" s="3"/>
      <c r="E94" s="3"/>
      <c r="F94" s="3"/>
      <c r="G94" s="3"/>
      <c r="H94" s="3"/>
      <c r="I94" s="3"/>
      <c r="J94" s="3"/>
      <c r="K94" s="3"/>
    </row>
    <row r="95" ht="15.75" customHeight="1">
      <c r="A95" s="3"/>
      <c r="B95" s="3"/>
      <c r="C95" s="3"/>
      <c r="D95" s="3"/>
      <c r="E95" s="3"/>
      <c r="F95" s="3"/>
      <c r="G95" s="3"/>
      <c r="H95" s="3"/>
      <c r="I95" s="3"/>
      <c r="J95" s="3"/>
      <c r="K95" s="3"/>
    </row>
    <row r="96" ht="15.75" customHeight="1">
      <c r="A96" s="3"/>
      <c r="B96" s="3"/>
      <c r="C96" s="3"/>
      <c r="D96" s="3"/>
      <c r="E96" s="3"/>
      <c r="F96" s="3"/>
      <c r="G96" s="3"/>
      <c r="H96" s="3"/>
      <c r="I96" s="3"/>
      <c r="J96" s="3"/>
      <c r="K96" s="3"/>
    </row>
    <row r="97" ht="15.75" customHeight="1">
      <c r="A97" s="3"/>
      <c r="B97" s="3"/>
      <c r="C97" s="3"/>
      <c r="D97" s="3"/>
      <c r="E97" s="3"/>
      <c r="F97" s="3"/>
      <c r="G97" s="3"/>
      <c r="H97" s="3"/>
      <c r="I97" s="3"/>
      <c r="J97" s="3"/>
      <c r="K97" s="3"/>
    </row>
    <row r="98" ht="15.75" customHeight="1">
      <c r="A98" s="3"/>
      <c r="B98" s="3"/>
      <c r="C98" s="3"/>
      <c r="D98" s="3"/>
      <c r="E98" s="3"/>
      <c r="F98" s="3"/>
      <c r="G98" s="3"/>
      <c r="H98" s="3"/>
      <c r="I98" s="3"/>
      <c r="J98" s="3"/>
      <c r="K98" s="3"/>
    </row>
    <row r="99" ht="15.75" customHeight="1">
      <c r="A99" s="3"/>
      <c r="B99" s="3"/>
      <c r="C99" s="3"/>
      <c r="D99" s="3"/>
      <c r="E99" s="3"/>
      <c r="F99" s="3"/>
      <c r="G99" s="3"/>
      <c r="H99" s="3"/>
      <c r="I99" s="3"/>
      <c r="J99" s="3"/>
      <c r="K99" s="3"/>
    </row>
    <row r="100" ht="15.75" customHeight="1">
      <c r="A100" s="3"/>
      <c r="B100" s="3"/>
      <c r="C100" s="3"/>
      <c r="D100" s="3"/>
      <c r="E100" s="3"/>
      <c r="F100" s="3"/>
      <c r="G100" s="3"/>
      <c r="H100" s="3"/>
      <c r="I100" s="3"/>
      <c r="J100" s="3"/>
      <c r="K100" s="3"/>
    </row>
  </sheetData>
  <mergeCells count="15">
    <mergeCell ref="A13:E13"/>
    <mergeCell ref="A14:E14"/>
    <mergeCell ref="A5:E5"/>
    <mergeCell ref="A6:E6"/>
    <mergeCell ref="A7:E7"/>
    <mergeCell ref="A8:E8"/>
    <mergeCell ref="B12:E12"/>
    <mergeCell ref="B11:E11"/>
    <mergeCell ref="A37:E37"/>
    <mergeCell ref="A1:E1"/>
    <mergeCell ref="A2:E2"/>
    <mergeCell ref="A3:E3"/>
    <mergeCell ref="A4:E4"/>
    <mergeCell ref="C21:C26"/>
    <mergeCell ref="A9:E9"/>
  </mergeCells>
  <printOptions/>
  <pageMargins bottom="0.75" footer="0.0" header="0.0" left="0.7" right="0.7" top="0.75"/>
  <pageSetup paperSize="9"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71"/>
    <col customWidth="1" min="3" max="3" width="19.71"/>
    <col customWidth="1" min="4" max="4" width="15.71"/>
    <col customWidth="1" min="5" max="5" width="17.71"/>
    <col customWidth="1" min="6" max="6" width="17.86"/>
    <col customWidth="1" min="7" max="7" width="18.0"/>
    <col customWidth="1" min="8" max="8" width="17.86"/>
    <col customWidth="1" min="9" max="9" width="18.71"/>
    <col customWidth="1" min="10" max="10" width="18.14"/>
    <col customWidth="1" min="11" max="11" width="14.43"/>
    <col customWidth="1" min="12" max="12" width="14.86"/>
    <col customWidth="1" min="13" max="18" width="11.86"/>
    <col customWidth="1" min="19" max="19" width="4.57"/>
  </cols>
  <sheetData>
    <row r="5">
      <c r="B5" s="254" t="s">
        <v>464</v>
      </c>
    </row>
    <row r="6">
      <c r="B6" s="255"/>
      <c r="C6" s="255"/>
      <c r="D6" s="255"/>
      <c r="E6" s="255"/>
      <c r="F6" s="255"/>
      <c r="G6" s="255"/>
      <c r="H6" s="255"/>
      <c r="I6" s="255"/>
      <c r="J6" s="255"/>
    </row>
    <row r="7">
      <c r="B7" s="256" t="s">
        <v>465</v>
      </c>
      <c r="C7" s="257" t="s">
        <v>466</v>
      </c>
      <c r="D7" s="257" t="s">
        <v>177</v>
      </c>
      <c r="E7" s="257" t="s">
        <v>178</v>
      </c>
      <c r="F7" s="257" t="s">
        <v>179</v>
      </c>
      <c r="G7" s="257" t="s">
        <v>180</v>
      </c>
      <c r="H7" s="257" t="s">
        <v>181</v>
      </c>
      <c r="I7" s="257" t="s">
        <v>182</v>
      </c>
      <c r="J7" s="257" t="s">
        <v>183</v>
      </c>
      <c r="L7" s="258"/>
    </row>
    <row r="8">
      <c r="B8" s="155"/>
      <c r="C8" s="155"/>
      <c r="D8" s="155"/>
      <c r="E8" s="155"/>
      <c r="F8" s="155"/>
      <c r="G8" s="155"/>
      <c r="H8" s="155"/>
      <c r="I8" s="155"/>
      <c r="J8" s="155"/>
    </row>
    <row r="9">
      <c r="B9" s="155" t="s">
        <v>467</v>
      </c>
      <c r="C9" s="155"/>
      <c r="D9" s="259" t="str">
        <f>'6.Cons Profit &amp; Loss'!B49</f>
        <v>-58,578.84</v>
      </c>
      <c r="E9" s="259" t="str">
        <f>'6.Cons Profit &amp; Loss'!C49</f>
        <v>6,784,021.25</v>
      </c>
      <c r="F9" s="259" t="str">
        <f>'6.Cons Profit &amp; Loss'!D49</f>
        <v>10,134,868.65</v>
      </c>
      <c r="G9" s="259" t="str">
        <f>'6.Cons Profit &amp; Loss'!E49</f>
        <v>13,826,229.21</v>
      </c>
      <c r="H9" s="259" t="str">
        <f>'6.Cons Profit &amp; Loss'!F49</f>
        <v>17,878,579.20</v>
      </c>
      <c r="I9" s="259" t="str">
        <f>'6.Cons Profit &amp; Loss'!G49</f>
        <v>22,068,633.81</v>
      </c>
      <c r="J9" s="259" t="str">
        <f>'6.Cons Profit &amp; Loss'!H49</f>
        <v>26,633,377.88</v>
      </c>
    </row>
    <row r="10">
      <c r="B10" s="155"/>
      <c r="C10" s="155"/>
      <c r="D10" s="259"/>
      <c r="E10" s="259"/>
      <c r="F10" s="259"/>
      <c r="G10" s="259"/>
      <c r="H10" s="259"/>
      <c r="I10" s="259"/>
      <c r="J10" s="259"/>
    </row>
    <row r="11">
      <c r="B11" s="158" t="s">
        <v>468</v>
      </c>
      <c r="C11" s="158"/>
      <c r="D11" s="259" t="str">
        <f>'6.Cons Profit &amp; Loss'!B40</f>
        <v>1,085,184.89</v>
      </c>
      <c r="E11" s="259" t="str">
        <f>'6.Cons Profit &amp; Loss'!C40</f>
        <v>1,085,184.89</v>
      </c>
      <c r="F11" s="259" t="str">
        <f>'6.Cons Profit &amp; Loss'!D40</f>
        <v>1,085,184.89</v>
      </c>
      <c r="G11" s="259" t="str">
        <f>'6.Cons Profit &amp; Loss'!E40</f>
        <v>1,085,184.89</v>
      </c>
      <c r="H11" s="259" t="str">
        <f>'6.Cons Profit &amp; Loss'!F40</f>
        <v>1,085,184.89</v>
      </c>
      <c r="I11" s="259" t="str">
        <f>'6.Cons Profit &amp; Loss'!G40</f>
        <v>1,085,184.89</v>
      </c>
      <c r="J11" s="259" t="str">
        <f>'6.Cons Profit &amp; Loss'!H40</f>
        <v>1,085,184.89</v>
      </c>
    </row>
    <row r="12">
      <c r="B12" s="155" t="s">
        <v>469</v>
      </c>
      <c r="C12" s="155"/>
      <c r="D12" s="259" t="str">
        <f>'6.Cons Profit &amp; Loss'!B41</f>
        <v>12,588.00</v>
      </c>
      <c r="E12" s="259" t="str">
        <f>'6.Cons Profit &amp; Loss'!C41</f>
        <v>12,588.00</v>
      </c>
      <c r="F12" s="259" t="str">
        <f>'6.Cons Profit &amp; Loss'!D41</f>
        <v>12,588.00</v>
      </c>
      <c r="G12" s="259" t="str">
        <f>'6.Cons Profit &amp; Loss'!E41</f>
        <v>12,588.00</v>
      </c>
      <c r="H12" s="259" t="str">
        <f>'6.Cons Profit &amp; Loss'!F41</f>
        <v>12,588.00</v>
      </c>
      <c r="I12" s="259" t="str">
        <f>'6.Cons Profit &amp; Loss'!G41</f>
        <v>0.00</v>
      </c>
      <c r="J12" s="259" t="str">
        <f>'6.Cons Profit &amp; Loss'!H41</f>
        <v>0.00</v>
      </c>
    </row>
    <row r="13">
      <c r="B13" s="155"/>
      <c r="C13" s="155"/>
      <c r="D13" s="155"/>
      <c r="E13" s="155"/>
      <c r="F13" s="155"/>
      <c r="G13" s="155"/>
      <c r="H13" s="155"/>
      <c r="I13" s="155"/>
      <c r="J13" s="155"/>
    </row>
    <row r="14">
      <c r="B14" s="155" t="s">
        <v>470</v>
      </c>
      <c r="C14" s="155"/>
      <c r="D14" s="259" t="str">
        <f t="shared" ref="D14:J14" si="1">SUM(D9:D12)</f>
        <v>1,039,194.05</v>
      </c>
      <c r="E14" s="259" t="str">
        <f t="shared" si="1"/>
        <v>7,881,794.14</v>
      </c>
      <c r="F14" s="259" t="str">
        <f t="shared" si="1"/>
        <v>11,232,641.54</v>
      </c>
      <c r="G14" s="259" t="str">
        <f t="shared" si="1"/>
        <v>14,924,002.10</v>
      </c>
      <c r="H14" s="259" t="str">
        <f t="shared" si="1"/>
        <v>18,976,352.09</v>
      </c>
      <c r="I14" s="259" t="str">
        <f t="shared" si="1"/>
        <v>23,153,818.70</v>
      </c>
      <c r="J14" s="259" t="str">
        <f t="shared" si="1"/>
        <v>27,718,562.77</v>
      </c>
    </row>
    <row r="15">
      <c r="B15" s="155" t="s">
        <v>471</v>
      </c>
      <c r="C15" s="260" t="str">
        <f>-'1.Project Cost and MOF'!D13</f>
        <v>  (56,421,575.6393)</v>
      </c>
      <c r="D15" s="259" t="str">
        <f t="shared" ref="D15:J15" si="2">D14</f>
        <v>1,039,194.05</v>
      </c>
      <c r="E15" s="259" t="str">
        <f t="shared" si="2"/>
        <v>7,881,794.14</v>
      </c>
      <c r="F15" s="259" t="str">
        <f t="shared" si="2"/>
        <v>11,232,641.54</v>
      </c>
      <c r="G15" s="259" t="str">
        <f t="shared" si="2"/>
        <v>14,924,002.10</v>
      </c>
      <c r="H15" s="259" t="str">
        <f t="shared" si="2"/>
        <v>18,976,352.09</v>
      </c>
      <c r="I15" s="259" t="str">
        <f t="shared" si="2"/>
        <v>23,153,818.70</v>
      </c>
      <c r="J15" s="259" t="str">
        <f t="shared" si="2"/>
        <v>27,718,562.77</v>
      </c>
    </row>
    <row r="16">
      <c r="B16" s="155" t="s">
        <v>472</v>
      </c>
      <c r="C16" s="261" t="str">
        <f>IRR(C15:J15)</f>
        <v>13.34%</v>
      </c>
      <c r="D16" s="259"/>
      <c r="E16" s="259"/>
      <c r="F16" s="259"/>
      <c r="G16" s="259"/>
      <c r="H16" s="259"/>
      <c r="I16" s="259"/>
      <c r="J16" s="259"/>
    </row>
    <row r="17">
      <c r="B17" s="155"/>
      <c r="C17" s="155"/>
      <c r="D17" s="155"/>
      <c r="E17" s="155"/>
      <c r="F17" s="155"/>
      <c r="G17" s="155"/>
      <c r="H17" s="155"/>
      <c r="I17" s="155"/>
      <c r="J17" s="155"/>
    </row>
    <row r="18">
      <c r="B18" s="262" t="s">
        <v>473</v>
      </c>
      <c r="C18" s="263"/>
      <c r="D18" s="264" t="str">
        <f>1/(1+$C$16)</f>
        <v>0.88</v>
      </c>
      <c r="E18" s="265" t="str">
        <f t="shared" ref="E18:J18" si="3">D18/(1+$C$16)</f>
        <v>0.78</v>
      </c>
      <c r="F18" s="265" t="str">
        <f t="shared" si="3"/>
        <v>0.69</v>
      </c>
      <c r="G18" s="265" t="str">
        <f t="shared" si="3"/>
        <v>0.61</v>
      </c>
      <c r="H18" s="265" t="str">
        <f t="shared" si="3"/>
        <v>0.53</v>
      </c>
      <c r="I18" s="265" t="str">
        <f t="shared" si="3"/>
        <v>0.47</v>
      </c>
      <c r="J18" s="265" t="str">
        <f t="shared" si="3"/>
        <v>0.42</v>
      </c>
      <c r="L18" s="266"/>
      <c r="M18" s="266"/>
      <c r="N18" s="266"/>
      <c r="O18" s="266"/>
      <c r="P18" s="266"/>
      <c r="Q18" s="266"/>
      <c r="R18" s="266"/>
      <c r="S18" s="266"/>
    </row>
    <row r="19">
      <c r="B19" s="155" t="s">
        <v>474</v>
      </c>
      <c r="C19" s="155"/>
      <c r="D19" s="259" t="str">
        <f t="shared" ref="D19:J19" si="4">D14*D18</f>
        <v>916,898.49</v>
      </c>
      <c r="E19" s="259" t="str">
        <f t="shared" si="4"/>
        <v>6,135,843.92</v>
      </c>
      <c r="F19" s="259" t="str">
        <f t="shared" si="4"/>
        <v>7,715,351.62</v>
      </c>
      <c r="G19" s="259" t="str">
        <f t="shared" si="4"/>
        <v>9,044,482.71</v>
      </c>
      <c r="H19" s="259" t="str">
        <f t="shared" si="4"/>
        <v>10,146,955.82</v>
      </c>
      <c r="I19" s="259" t="str">
        <f t="shared" si="4"/>
        <v>10,923,712.86</v>
      </c>
      <c r="J19" s="259" t="str">
        <f t="shared" si="4"/>
        <v>11,538,330.21</v>
      </c>
      <c r="L19" s="267"/>
    </row>
    <row r="20">
      <c r="B20" s="155" t="s">
        <v>475</v>
      </c>
      <c r="C20" s="155"/>
      <c r="D20" s="268" t="str">
        <f>SUM(D19:J19)</f>
        <v>56,421,575.64</v>
      </c>
      <c r="E20" s="5"/>
      <c r="F20" s="5"/>
      <c r="G20" s="5"/>
      <c r="H20" s="5"/>
      <c r="I20" s="5"/>
      <c r="J20" s="6"/>
      <c r="L20" s="267"/>
    </row>
    <row r="21" ht="15.75" customHeight="1">
      <c r="B21" s="155"/>
      <c r="C21" s="155"/>
      <c r="D21" s="259"/>
      <c r="E21" s="259"/>
      <c r="F21" s="259"/>
      <c r="G21" s="259"/>
      <c r="H21" s="259"/>
      <c r="I21" s="259"/>
      <c r="J21" s="259"/>
    </row>
    <row r="22" ht="15.75" customHeight="1">
      <c r="B22" s="269" t="s">
        <v>476</v>
      </c>
      <c r="C22" s="269"/>
      <c r="D22" s="270" t="str">
        <f>'1.Project Cost and MOF'!D13</f>
        <v>56,421,575.64</v>
      </c>
    </row>
    <row r="23" ht="15.75" customHeight="1">
      <c r="F23" s="266" t="str">
        <f>D20-D22</f>
        <v>0.00</v>
      </c>
    </row>
    <row r="24" ht="29.25" customHeight="1">
      <c r="B24" s="271" t="s">
        <v>477</v>
      </c>
    </row>
    <row r="25" ht="15.75" customHeight="1">
      <c r="K25" s="266"/>
      <c r="L25" s="266"/>
      <c r="M25" s="266"/>
    </row>
    <row r="26" ht="15.75" customHeight="1">
      <c r="B26" s="26" t="s">
        <v>478</v>
      </c>
    </row>
    <row r="27" ht="15.75" customHeight="1">
      <c r="K27" s="266"/>
    </row>
    <row r="28" ht="15.75" customHeight="1">
      <c r="B28" s="272" t="s">
        <v>174</v>
      </c>
      <c r="C28" s="273" t="s">
        <v>177</v>
      </c>
      <c r="D28" s="273" t="s">
        <v>178</v>
      </c>
      <c r="E28" s="273" t="s">
        <v>179</v>
      </c>
      <c r="F28" s="273" t="s">
        <v>180</v>
      </c>
      <c r="G28" s="273" t="s">
        <v>181</v>
      </c>
      <c r="H28" s="273" t="s">
        <v>182</v>
      </c>
      <c r="I28" s="273" t="s">
        <v>183</v>
      </c>
    </row>
    <row r="29" ht="15.75" customHeight="1">
      <c r="B29" s="85"/>
      <c r="C29" s="85"/>
      <c r="D29" s="85"/>
      <c r="E29" s="85"/>
      <c r="F29" s="85"/>
      <c r="G29" s="85"/>
      <c r="H29" s="85"/>
      <c r="I29" s="85"/>
    </row>
    <row r="30" ht="15.75" customHeight="1">
      <c r="B30" s="85" t="s">
        <v>479</v>
      </c>
      <c r="C30" s="85"/>
      <c r="D30" s="85"/>
      <c r="E30" s="85"/>
      <c r="F30" s="85"/>
      <c r="G30" s="85"/>
      <c r="H30" s="85"/>
      <c r="I30" s="85"/>
    </row>
    <row r="31" ht="15.75" customHeight="1">
      <c r="B31" s="85"/>
      <c r="C31" s="116"/>
      <c r="D31" s="116"/>
      <c r="E31" s="116"/>
      <c r="F31" s="116"/>
      <c r="G31" s="116"/>
      <c r="H31" s="116"/>
      <c r="I31" s="116"/>
    </row>
    <row r="32" ht="15.75" customHeight="1">
      <c r="B32" s="274" t="str">
        <f>'6.Cons Profit &amp; Loss'!A6</f>
        <v>Faclitiy 1 - Trading Activity</v>
      </c>
      <c r="C32" s="116" t="str">
        <f>'6.Cons Profit &amp; Loss'!B6</f>
        <v>  67,496,439 </v>
      </c>
      <c r="D32" s="116" t="str">
        <f>'6.Cons Profit &amp; Loss'!C6</f>
        <v>  129,631,065 </v>
      </c>
      <c r="E32" s="116" t="str">
        <f>'6.Cons Profit &amp; Loss'!D6</f>
        <v>  156,730,976 </v>
      </c>
      <c r="F32" s="116" t="str">
        <f>'6.Cons Profit &amp; Loss'!E6</f>
        <v>  186,216,801 </v>
      </c>
      <c r="G32" s="116" t="str">
        <f>'6.Cons Profit &amp; Loss'!F6</f>
        <v>  218,259,381 </v>
      </c>
      <c r="H32" s="116" t="str">
        <f>'6.Cons Profit &amp; Loss'!G6</f>
        <v>  253,040,676 </v>
      </c>
      <c r="I32" s="116" t="str">
        <f>'6.Cons Profit &amp; Loss'!H6</f>
        <v>  290,754,453 </v>
      </c>
    </row>
    <row r="33" ht="15.75" customHeight="1">
      <c r="B33" s="274" t="str">
        <f>'6.Cons Profit &amp; Loss'!A7</f>
        <v>Faclitiy 2 - Processing Unit- Cleaning, Grading</v>
      </c>
      <c r="C33" s="116" t="str">
        <f>'6.Cons Profit &amp; Loss'!B7</f>
        <v>  3,638,988 </v>
      </c>
      <c r="D33" s="116" t="str">
        <f>'6.Cons Profit &amp; Loss'!C7</f>
        <v>  5,898,407 </v>
      </c>
      <c r="E33" s="116" t="str">
        <f>'6.Cons Profit &amp; Loss'!D7</f>
        <v>  8,286,995 </v>
      </c>
      <c r="F33" s="116" t="str">
        <f>'6.Cons Profit &amp; Loss'!E7</f>
        <v>  10,899,695 </v>
      </c>
      <c r="G33" s="116" t="str">
        <f>'6.Cons Profit &amp; Loss'!F7</f>
        <v>  13,752,948 </v>
      </c>
      <c r="H33" s="116" t="str">
        <f>'6.Cons Profit &amp; Loss'!G7</f>
        <v>  16,864,277 </v>
      </c>
      <c r="I33" s="116" t="str">
        <f>'6.Cons Profit &amp; Loss'!H7</f>
        <v>  20,252,357 </v>
      </c>
    </row>
    <row r="34" ht="15.75" customHeight="1">
      <c r="B34" s="274" t="str">
        <f>'6.Cons Profit &amp; Loss'!A8</f>
        <v>Faclitiy 3 - Warehouse</v>
      </c>
      <c r="C34" s="116" t="str">
        <f>'6.Cons Profit &amp; Loss'!B8</f>
        <v>  4,320,000 </v>
      </c>
      <c r="D34" s="116" t="str">
        <f>'6.Cons Profit &amp; Loss'!C8</f>
        <v>  4,819,500 </v>
      </c>
      <c r="E34" s="116" t="str">
        <f>'6.Cons Profit &amp; Loss'!D8</f>
        <v>  5,358,150 </v>
      </c>
      <c r="F34" s="116" t="str">
        <f>'6.Cons Profit &amp; Loss'!E8</f>
        <v>  5,938,616 </v>
      </c>
      <c r="G34" s="116" t="str">
        <f>'6.Cons Profit &amp; Loss'!F8</f>
        <v>  6,563,734 </v>
      </c>
      <c r="H34" s="116" t="str">
        <f>'6.Cons Profit &amp; Loss'!G8</f>
        <v>  6,891,920 </v>
      </c>
      <c r="I34" s="116" t="str">
        <f>'6.Cons Profit &amp; Loss'!H8</f>
        <v>  7,236,516 </v>
      </c>
    </row>
    <row r="35" ht="15.75" customHeight="1">
      <c r="B35" s="274" t="str">
        <f>'6.Cons Profit &amp; Loss'!A9</f>
        <v>Faclitiy 4 - Custom Hiring </v>
      </c>
      <c r="C35" s="116" t="str">
        <f>'6.Cons Profit &amp; Loss'!B9</f>
        <v>  -   </v>
      </c>
      <c r="D35" s="116" t="str">
        <f>'6.Cons Profit &amp; Loss'!C9</f>
        <v>  -   </v>
      </c>
      <c r="E35" s="116" t="str">
        <f>'6.Cons Profit &amp; Loss'!D9</f>
        <v>  -   </v>
      </c>
      <c r="F35" s="116" t="str">
        <f>'6.Cons Profit &amp; Loss'!E9</f>
        <v>  -   </v>
      </c>
      <c r="G35" s="116" t="str">
        <f>'6.Cons Profit &amp; Loss'!F9</f>
        <v>  -   </v>
      </c>
      <c r="H35" s="116" t="str">
        <f>'6.Cons Profit &amp; Loss'!G9</f>
        <v>  -   </v>
      </c>
      <c r="I35" s="116" t="str">
        <f>'6.Cons Profit &amp; Loss'!H9</f>
        <v>  -   </v>
      </c>
    </row>
    <row r="36" ht="15.75" customHeight="1">
      <c r="B36" s="274" t="str">
        <f>'6.Cons Profit &amp; Loss'!A10</f>
        <v>Faclitiy 5 - Agri Input Centre</v>
      </c>
      <c r="C36" s="116" t="str">
        <f>'6.Cons Profit &amp; Loss'!B10</f>
        <v>  -   </v>
      </c>
      <c r="D36" s="116" t="str">
        <f>'6.Cons Profit &amp; Loss'!C10</f>
        <v>  -   </v>
      </c>
      <c r="E36" s="116" t="str">
        <f>'6.Cons Profit &amp; Loss'!D10</f>
        <v>  -   </v>
      </c>
      <c r="F36" s="116" t="str">
        <f>'6.Cons Profit &amp; Loss'!E10</f>
        <v>  -   </v>
      </c>
      <c r="G36" s="116" t="str">
        <f>'6.Cons Profit &amp; Loss'!F10</f>
        <v>  -   </v>
      </c>
      <c r="H36" s="116" t="str">
        <f>'6.Cons Profit &amp; Loss'!G10</f>
        <v>  -   </v>
      </c>
      <c r="I36" s="116" t="str">
        <f>'6.Cons Profit &amp; Loss'!H10</f>
        <v>  -   </v>
      </c>
    </row>
    <row r="37" ht="15.75" customHeight="1">
      <c r="B37" s="274" t="str">
        <f>'6.Cons Profit &amp; Loss'!A11</f>
        <v>Facility 6 - Processing Unit - Horti Commodity</v>
      </c>
      <c r="C37" s="116" t="str">
        <f>'6.Cons Profit &amp; Loss'!B11</f>
        <v>  -   </v>
      </c>
      <c r="D37" s="116" t="str">
        <f>'6.Cons Profit &amp; Loss'!C11</f>
        <v>  -   </v>
      </c>
      <c r="E37" s="116" t="str">
        <f>'6.Cons Profit &amp; Loss'!D11</f>
        <v>  -   </v>
      </c>
      <c r="F37" s="116" t="str">
        <f>'6.Cons Profit &amp; Loss'!E11</f>
        <v>  -   </v>
      </c>
      <c r="G37" s="116" t="str">
        <f>'6.Cons Profit &amp; Loss'!F11</f>
        <v>  -   </v>
      </c>
      <c r="H37" s="116" t="str">
        <f>'6.Cons Profit &amp; Loss'!G11</f>
        <v>  -   </v>
      </c>
      <c r="I37" s="116" t="str">
        <f>'6.Cons Profit &amp; Loss'!H11</f>
        <v>  -   </v>
      </c>
    </row>
    <row r="38" ht="15.75" customHeight="1">
      <c r="B38" s="274"/>
      <c r="C38" s="274"/>
      <c r="D38" s="274"/>
      <c r="E38" s="274"/>
      <c r="F38" s="274"/>
      <c r="G38" s="274"/>
      <c r="H38" s="274"/>
      <c r="I38" s="274"/>
    </row>
    <row r="39" ht="15.75" customHeight="1">
      <c r="B39" s="85" t="s">
        <v>480</v>
      </c>
      <c r="C39" s="116" t="str">
        <f t="shared" ref="C39:I39" si="5">SUM(C32:C38)</f>
        <v>  75,455,427 </v>
      </c>
      <c r="D39" s="116" t="str">
        <f t="shared" si="5"/>
        <v>  140,348,972 </v>
      </c>
      <c r="E39" s="116" t="str">
        <f t="shared" si="5"/>
        <v>  170,376,121 </v>
      </c>
      <c r="F39" s="116" t="str">
        <f t="shared" si="5"/>
        <v>  203,055,112 </v>
      </c>
      <c r="G39" s="116" t="str">
        <f t="shared" si="5"/>
        <v>  238,576,063 </v>
      </c>
      <c r="H39" s="116" t="str">
        <f t="shared" si="5"/>
        <v>  276,796,874 </v>
      </c>
      <c r="I39" s="116" t="str">
        <f t="shared" si="5"/>
        <v>  318,243,327 </v>
      </c>
    </row>
    <row r="40" ht="15.75" customHeight="1">
      <c r="B40" s="85"/>
      <c r="C40" s="116"/>
      <c r="D40" s="116"/>
      <c r="E40" s="116"/>
      <c r="F40" s="116"/>
      <c r="G40" s="116"/>
      <c r="H40" s="116"/>
      <c r="I40" s="116"/>
    </row>
    <row r="41" ht="15.75" customHeight="1">
      <c r="B41" s="85" t="s">
        <v>481</v>
      </c>
      <c r="C41" s="116" t="str">
        <f>'6.Cons Profit &amp; Loss'!B23</f>
        <v>  59,870,240 </v>
      </c>
      <c r="D41" s="116" t="str">
        <f>'6.Cons Profit &amp; Loss'!C23</f>
        <v>  112,521,195 </v>
      </c>
      <c r="E41" s="116" t="str">
        <f>'6.Cons Profit &amp; Loss'!D23</f>
        <v>  136,133,572 </v>
      </c>
      <c r="F41" s="116" t="str">
        <f>'6.Cons Profit &amp; Loss'!E23</f>
        <v>  161,825,883 </v>
      </c>
      <c r="G41" s="116" t="str">
        <f>'6.Cons Profit &amp; Loss'!F23</f>
        <v>  189,747,091 </v>
      </c>
      <c r="H41" s="116" t="str">
        <f>'6.Cons Profit &amp; Loss'!G23</f>
        <v>  220,055,855 </v>
      </c>
      <c r="I41" s="116" t="str">
        <f>'6.Cons Profit &amp; Loss'!H23</f>
        <v>  252,921,128 </v>
      </c>
    </row>
    <row r="42" ht="15.75" customHeight="1">
      <c r="B42" s="85"/>
      <c r="C42" s="116"/>
      <c r="D42" s="116"/>
      <c r="E42" s="116"/>
      <c r="F42" s="116"/>
      <c r="G42" s="116"/>
      <c r="H42" s="116"/>
      <c r="I42" s="116"/>
    </row>
    <row r="43" ht="15.75" customHeight="1">
      <c r="B43" s="117" t="s">
        <v>482</v>
      </c>
      <c r="C43" s="118" t="str">
        <f t="shared" ref="C43:I43" si="6">C39-C41</f>
        <v>  15,585,187 </v>
      </c>
      <c r="D43" s="118" t="str">
        <f t="shared" si="6"/>
        <v>  27,827,777 </v>
      </c>
      <c r="E43" s="118" t="str">
        <f t="shared" si="6"/>
        <v>  34,242,549 </v>
      </c>
      <c r="F43" s="118" t="str">
        <f t="shared" si="6"/>
        <v>  41,229,230 </v>
      </c>
      <c r="G43" s="118" t="str">
        <f t="shared" si="6"/>
        <v>  48,828,972 </v>
      </c>
      <c r="H43" s="118" t="str">
        <f t="shared" si="6"/>
        <v>  56,741,019 </v>
      </c>
      <c r="I43" s="118" t="str">
        <f t="shared" si="6"/>
        <v>  65,322,198 </v>
      </c>
    </row>
    <row r="44" ht="15.75" customHeight="1">
      <c r="B44" s="85"/>
      <c r="C44" s="116"/>
      <c r="D44" s="116"/>
      <c r="E44" s="116"/>
      <c r="F44" s="116"/>
      <c r="G44" s="116"/>
      <c r="H44" s="116"/>
      <c r="I44" s="116"/>
    </row>
    <row r="45" ht="15.75" customHeight="1">
      <c r="B45" s="117" t="s">
        <v>483</v>
      </c>
      <c r="C45" s="118" t="str">
        <f>'6.Cons Profit &amp; Loss'!B34+'6.Cons Profit &amp; Loss'!B40+'6.Cons Profit &amp; Loss'!B41</f>
        <v>  12,697,773 </v>
      </c>
      <c r="D45" s="118" t="str">
        <f>'6.Cons Profit &amp; Loss'!C34+'6.Cons Profit &amp; Loss'!C40+'6.Cons Profit &amp; Loss'!C41</f>
        <v>  13,277,773 </v>
      </c>
      <c r="E45" s="118" t="str">
        <f>'6.Cons Profit &amp; Loss'!D34+'6.Cons Profit &amp; Loss'!D40+'6.Cons Profit &amp; Loss'!D41</f>
        <v>  13,886,773 </v>
      </c>
      <c r="F45" s="118" t="str">
        <f>'6.Cons Profit &amp; Loss'!E34+'6.Cons Profit &amp; Loss'!E40+'6.Cons Profit &amp; Loss'!E41</f>
        <v>  14,526,223 </v>
      </c>
      <c r="G45" s="118" t="str">
        <f>'6.Cons Profit &amp; Loss'!F34+'6.Cons Profit &amp; Loss'!F40+'6.Cons Profit &amp; Loss'!F41</f>
        <v>  15,197,645 </v>
      </c>
      <c r="H45" s="118" t="str">
        <f>'6.Cons Profit &amp; Loss'!G34+'6.Cons Profit &amp; Loss'!G40+'6.Cons Profit &amp; Loss'!G41</f>
        <v>  15,890,051 </v>
      </c>
      <c r="I45" s="118" t="str">
        <f>'6.Cons Profit &amp; Loss'!H34+'6.Cons Profit &amp; Loss'!H40+'6.Cons Profit &amp; Loss'!H41</f>
        <v>  16,630,294 </v>
      </c>
    </row>
    <row r="46" ht="15.75" customHeight="1">
      <c r="B46" s="85"/>
      <c r="C46" s="85"/>
      <c r="D46" s="85"/>
      <c r="E46" s="85"/>
      <c r="F46" s="85"/>
      <c r="G46" s="85"/>
      <c r="H46" s="85"/>
      <c r="I46" s="85"/>
    </row>
    <row r="47" ht="15.75" customHeight="1">
      <c r="B47" s="85" t="s">
        <v>484</v>
      </c>
      <c r="C47" s="180" t="str">
        <f t="shared" ref="C47:I47" si="7">C45/C43</f>
        <v>81%</v>
      </c>
      <c r="D47" s="180" t="str">
        <f t="shared" si="7"/>
        <v>48%</v>
      </c>
      <c r="E47" s="180" t="str">
        <f t="shared" si="7"/>
        <v>41%</v>
      </c>
      <c r="F47" s="180" t="str">
        <f t="shared" si="7"/>
        <v>35%</v>
      </c>
      <c r="G47" s="180" t="str">
        <f t="shared" si="7"/>
        <v>31%</v>
      </c>
      <c r="H47" s="180" t="str">
        <f t="shared" si="7"/>
        <v>28%</v>
      </c>
      <c r="I47" s="180" t="str">
        <f t="shared" si="7"/>
        <v>25%</v>
      </c>
    </row>
    <row r="48" ht="15.75" customHeight="1">
      <c r="B48" s="110"/>
      <c r="C48" s="110"/>
      <c r="D48" s="110"/>
      <c r="E48" s="110"/>
      <c r="F48" s="110"/>
      <c r="G48" s="110"/>
      <c r="H48" s="110"/>
      <c r="I48" s="110"/>
    </row>
    <row r="49" ht="15.75" customHeight="1">
      <c r="B49" s="275" t="s">
        <v>485</v>
      </c>
      <c r="C49" s="276" t="str">
        <f>AVERAGE(C47:I47)</f>
        <v>41.37%</v>
      </c>
      <c r="D49" s="110"/>
      <c r="E49" s="110"/>
      <c r="F49" s="110"/>
      <c r="G49" s="110"/>
      <c r="H49" s="110"/>
      <c r="I49" s="110"/>
    </row>
    <row r="50" ht="15.75" customHeight="1"/>
    <row r="51" ht="41.25" customHeight="1">
      <c r="B51" s="277" t="s">
        <v>486</v>
      </c>
    </row>
    <row r="52" ht="15.75" customHeight="1"/>
    <row r="53" ht="15.75" customHeight="1"/>
    <row r="54" ht="15.75" customHeight="1">
      <c r="B54" s="26" t="s">
        <v>487</v>
      </c>
    </row>
    <row r="55" ht="15.75" customHeight="1"/>
    <row r="56" ht="15.75" customHeight="1">
      <c r="B56" s="176" t="s">
        <v>465</v>
      </c>
      <c r="C56" s="177" t="s">
        <v>177</v>
      </c>
      <c r="D56" s="177" t="s">
        <v>178</v>
      </c>
      <c r="E56" s="177" t="s">
        <v>179</v>
      </c>
      <c r="F56" s="177" t="s">
        <v>180</v>
      </c>
      <c r="G56" s="177" t="s">
        <v>181</v>
      </c>
      <c r="H56" s="177" t="s">
        <v>182</v>
      </c>
      <c r="I56" s="177" t="s">
        <v>183</v>
      </c>
    </row>
    <row r="57" ht="15.75" customHeight="1">
      <c r="B57" s="85"/>
      <c r="C57" s="85"/>
      <c r="D57" s="85"/>
      <c r="E57" s="85"/>
      <c r="F57" s="85"/>
      <c r="G57" s="85"/>
      <c r="H57" s="85"/>
      <c r="I57" s="85"/>
    </row>
    <row r="58" ht="15.75" customHeight="1">
      <c r="B58" s="85" t="s">
        <v>488</v>
      </c>
      <c r="C58" s="278" t="str">
        <f>'6.Cons Profit &amp; Loss'!B49</f>
        <v>-58,579</v>
      </c>
      <c r="D58" s="278" t="str">
        <f>'6.Cons Profit &amp; Loss'!C49</f>
        <v>6,784,021</v>
      </c>
      <c r="E58" s="278" t="str">
        <f>'6.Cons Profit &amp; Loss'!D49</f>
        <v>10,134,869</v>
      </c>
      <c r="F58" s="278" t="str">
        <f>'6.Cons Profit &amp; Loss'!E49</f>
        <v>13,826,229</v>
      </c>
      <c r="G58" s="278" t="str">
        <f>'6.Cons Profit &amp; Loss'!F49</f>
        <v>17,878,579</v>
      </c>
      <c r="H58" s="278" t="str">
        <f>'6.Cons Profit &amp; Loss'!G49</f>
        <v>22,068,634</v>
      </c>
      <c r="I58" s="278" t="str">
        <f>'6.Cons Profit &amp; Loss'!H49</f>
        <v>26,633,378</v>
      </c>
    </row>
    <row r="59" ht="15.75" customHeight="1">
      <c r="B59" s="85"/>
      <c r="C59" s="278"/>
      <c r="D59" s="278"/>
      <c r="E59" s="278"/>
      <c r="F59" s="278"/>
      <c r="G59" s="278"/>
      <c r="H59" s="278"/>
      <c r="I59" s="278"/>
    </row>
    <row r="60" ht="15.75" customHeight="1">
      <c r="B60" s="85" t="s">
        <v>489</v>
      </c>
      <c r="C60" s="278" t="str">
        <f>'6.Cons Profit &amp; Loss'!B40</f>
        <v>1,085,185</v>
      </c>
      <c r="D60" s="278" t="str">
        <f>'6.Cons Profit &amp; Loss'!C40</f>
        <v>1,085,185</v>
      </c>
      <c r="E60" s="278" t="str">
        <f>'6.Cons Profit &amp; Loss'!D40</f>
        <v>1,085,185</v>
      </c>
      <c r="F60" s="278" t="str">
        <f>'6.Cons Profit &amp; Loss'!E40</f>
        <v>1,085,185</v>
      </c>
      <c r="G60" s="278" t="str">
        <f>'6.Cons Profit &amp; Loss'!F40</f>
        <v>1,085,185</v>
      </c>
      <c r="H60" s="278" t="str">
        <f>'6.Cons Profit &amp; Loss'!G40</f>
        <v>1,085,185</v>
      </c>
      <c r="I60" s="278" t="str">
        <f>'6.Cons Profit &amp; Loss'!H40</f>
        <v>1,085,185</v>
      </c>
    </row>
    <row r="61" ht="15.75" customHeight="1">
      <c r="B61" s="279" t="s">
        <v>490</v>
      </c>
      <c r="C61" s="278" t="str">
        <f>'6.Cons Profit &amp; Loss'!B41</f>
        <v>12,588</v>
      </c>
      <c r="D61" s="278" t="str">
        <f>'6.Cons Profit &amp; Loss'!C41</f>
        <v>12,588</v>
      </c>
      <c r="E61" s="278" t="str">
        <f>'6.Cons Profit &amp; Loss'!D41</f>
        <v>12,588</v>
      </c>
      <c r="F61" s="278" t="str">
        <f>'6.Cons Profit &amp; Loss'!E41</f>
        <v>12,588</v>
      </c>
      <c r="G61" s="278" t="str">
        <f>'6.Cons Profit &amp; Loss'!F41</f>
        <v>12,588</v>
      </c>
      <c r="H61" s="278" t="str">
        <f>'6.Cons Profit &amp; Loss'!G41</f>
        <v>0</v>
      </c>
      <c r="I61" s="278" t="str">
        <f>'6.Cons Profit &amp; Loss'!H41</f>
        <v>0</v>
      </c>
    </row>
    <row r="62" ht="15.75" customHeight="1">
      <c r="B62" s="85"/>
      <c r="C62" s="278"/>
      <c r="D62" s="278"/>
      <c r="E62" s="278"/>
      <c r="F62" s="278"/>
      <c r="G62" s="278"/>
      <c r="H62" s="278"/>
      <c r="I62" s="278"/>
    </row>
    <row r="63" ht="15.75" customHeight="1">
      <c r="B63" s="85" t="s">
        <v>470</v>
      </c>
      <c r="C63" s="278" t="str">
        <f t="shared" ref="C63:I63" si="8">SUM(C58:C61)</f>
        <v>1,039,194</v>
      </c>
      <c r="D63" s="278" t="str">
        <f t="shared" si="8"/>
        <v>7,881,794</v>
      </c>
      <c r="E63" s="278" t="str">
        <f t="shared" si="8"/>
        <v>11,232,642</v>
      </c>
      <c r="F63" s="278" t="str">
        <f t="shared" si="8"/>
        <v>14,924,002</v>
      </c>
      <c r="G63" s="278" t="str">
        <f t="shared" si="8"/>
        <v>18,976,352</v>
      </c>
      <c r="H63" s="278" t="str">
        <f t="shared" si="8"/>
        <v>23,153,819</v>
      </c>
      <c r="I63" s="278" t="str">
        <f t="shared" si="8"/>
        <v>27,718,563</v>
      </c>
    </row>
    <row r="64" ht="15.75" customHeight="1">
      <c r="B64" s="85"/>
      <c r="C64" s="85"/>
      <c r="D64" s="85"/>
      <c r="E64" s="85"/>
      <c r="F64" s="85"/>
      <c r="G64" s="85"/>
      <c r="H64" s="85"/>
      <c r="I64" s="85"/>
    </row>
    <row r="65" ht="15.75" customHeight="1">
      <c r="B65" s="280" t="s">
        <v>491</v>
      </c>
      <c r="C65" s="274" t="str">
        <f>1/1.1</f>
        <v>0.91</v>
      </c>
      <c r="D65" s="274" t="str">
        <f t="shared" ref="D65:I65" si="9">C65/1.1</f>
        <v>0.83</v>
      </c>
      <c r="E65" s="274" t="str">
        <f t="shared" si="9"/>
        <v>0.75</v>
      </c>
      <c r="F65" s="274" t="str">
        <f t="shared" si="9"/>
        <v>0.68</v>
      </c>
      <c r="G65" s="274" t="str">
        <f t="shared" si="9"/>
        <v>0.62</v>
      </c>
      <c r="H65" s="274" t="str">
        <f t="shared" si="9"/>
        <v>0.56</v>
      </c>
      <c r="I65" s="274" t="str">
        <f t="shared" si="9"/>
        <v>0.51</v>
      </c>
    </row>
    <row r="66" ht="15.75" customHeight="1">
      <c r="B66" s="85"/>
      <c r="C66" s="85"/>
      <c r="D66" s="85"/>
      <c r="E66" s="85"/>
      <c r="F66" s="85"/>
      <c r="G66" s="85"/>
      <c r="H66" s="85"/>
      <c r="I66" s="85"/>
    </row>
    <row r="67" ht="15.75" customHeight="1">
      <c r="B67" s="280" t="s">
        <v>492</v>
      </c>
      <c r="C67" s="116" t="str">
        <f t="shared" ref="C67:I67" si="10">C63*C65</f>
        <v>  944,722 </v>
      </c>
      <c r="D67" s="116" t="str">
        <f t="shared" si="10"/>
        <v>  6,513,879 </v>
      </c>
      <c r="E67" s="116" t="str">
        <f t="shared" si="10"/>
        <v>  8,439,250 </v>
      </c>
      <c r="F67" s="116" t="str">
        <f t="shared" si="10"/>
        <v>  10,193,294 </v>
      </c>
      <c r="G67" s="116" t="str">
        <f t="shared" si="10"/>
        <v>  11,782,822 </v>
      </c>
      <c r="H67" s="116" t="str">
        <f t="shared" si="10"/>
        <v>  13,069,727 </v>
      </c>
      <c r="I67" s="116" t="str">
        <f t="shared" si="10"/>
        <v>  14,224,006 </v>
      </c>
    </row>
    <row r="68" ht="15.75" customHeight="1">
      <c r="B68" s="110"/>
      <c r="C68" s="165"/>
      <c r="D68" s="165"/>
      <c r="E68" s="165"/>
      <c r="F68" s="165"/>
      <c r="G68" s="165"/>
      <c r="H68" s="165"/>
      <c r="I68" s="165"/>
    </row>
    <row r="69" ht="15.75" customHeight="1">
      <c r="B69" s="281" t="s">
        <v>493</v>
      </c>
      <c r="C69" s="165" t="str">
        <f>SUM(C67:I67)</f>
        <v>  65,167,700 </v>
      </c>
      <c r="D69" s="165"/>
      <c r="E69" s="165"/>
      <c r="F69" s="165"/>
      <c r="G69" s="165"/>
      <c r="H69" s="165"/>
      <c r="I69" s="165"/>
    </row>
    <row r="70" ht="15.75" customHeight="1">
      <c r="B70" s="110"/>
      <c r="C70" s="165"/>
      <c r="D70" s="165"/>
      <c r="E70" s="165"/>
      <c r="F70" s="165"/>
      <c r="G70" s="165"/>
      <c r="H70" s="165"/>
      <c r="I70" s="165"/>
    </row>
    <row r="71" ht="15.75" customHeight="1">
      <c r="B71" s="281" t="s">
        <v>494</v>
      </c>
      <c r="C71" s="165" t="str">
        <f>'1.Project Cost and MOF'!D13</f>
        <v>  56,421,576 </v>
      </c>
      <c r="D71" s="165"/>
      <c r="E71" s="165"/>
      <c r="F71" s="165"/>
      <c r="G71" s="165"/>
      <c r="H71" s="165"/>
      <c r="I71" s="165"/>
    </row>
    <row r="72" ht="15.75" customHeight="1">
      <c r="B72" s="110"/>
      <c r="C72" s="282"/>
      <c r="D72" s="110"/>
      <c r="E72" s="110"/>
      <c r="F72" s="110"/>
      <c r="G72" s="110"/>
      <c r="H72" s="110"/>
      <c r="I72" s="110"/>
    </row>
    <row r="73" ht="15.75" customHeight="1">
      <c r="B73" s="281" t="s">
        <v>495</v>
      </c>
      <c r="C73" s="282" t="str">
        <f>C69-C71</f>
        <v>  8,746,123.96 </v>
      </c>
      <c r="D73" s="110"/>
      <c r="E73" s="110"/>
      <c r="F73" s="110"/>
      <c r="G73" s="110"/>
      <c r="H73" s="110"/>
      <c r="I73" s="110"/>
    </row>
    <row r="74" ht="15.75" customHeight="1"/>
    <row r="75" ht="34.5" customHeight="1">
      <c r="B75" s="109" t="s">
        <v>496</v>
      </c>
    </row>
    <row r="76" ht="15.75" customHeight="1">
      <c r="B76" s="26" t="s">
        <v>497</v>
      </c>
    </row>
    <row r="77" ht="15.75" customHeight="1">
      <c r="B77" s="110"/>
      <c r="C77" s="110"/>
      <c r="D77" s="110"/>
      <c r="E77" s="110"/>
      <c r="F77" s="110"/>
      <c r="G77" s="110"/>
      <c r="H77" s="110"/>
      <c r="I77" s="110"/>
    </row>
    <row r="78" ht="15.75" customHeight="1">
      <c r="B78" s="283" t="s">
        <v>174</v>
      </c>
      <c r="C78" s="283" t="s">
        <v>177</v>
      </c>
      <c r="D78" s="283" t="s">
        <v>178</v>
      </c>
      <c r="E78" s="283" t="s">
        <v>179</v>
      </c>
      <c r="F78" s="283" t="s">
        <v>180</v>
      </c>
      <c r="G78" s="283" t="s">
        <v>181</v>
      </c>
      <c r="H78" s="283" t="s">
        <v>182</v>
      </c>
      <c r="I78" s="283" t="s">
        <v>183</v>
      </c>
    </row>
    <row r="79" ht="15.75" customHeight="1">
      <c r="B79" s="284"/>
      <c r="C79" s="285"/>
      <c r="D79" s="285"/>
      <c r="E79" s="285"/>
      <c r="F79" s="285"/>
      <c r="G79" s="285"/>
      <c r="H79" s="285"/>
      <c r="I79" s="285"/>
    </row>
    <row r="80" ht="15.75" customHeight="1">
      <c r="B80" s="117" t="s">
        <v>498</v>
      </c>
      <c r="C80" s="116" t="str">
        <f>'6.Cons Profit &amp; Loss'!B49</f>
        <v>  (58,579)</v>
      </c>
      <c r="D80" s="116" t="str">
        <f>'6.Cons Profit &amp; Loss'!C49</f>
        <v>  6,784,021 </v>
      </c>
      <c r="E80" s="116" t="str">
        <f>'6.Cons Profit &amp; Loss'!D49</f>
        <v>  10,134,869 </v>
      </c>
      <c r="F80" s="116" t="str">
        <f>'6.Cons Profit &amp; Loss'!E49</f>
        <v>  13,826,229 </v>
      </c>
      <c r="G80" s="116" t="str">
        <f>'6.Cons Profit &amp; Loss'!F49</f>
        <v>  17,878,579 </v>
      </c>
      <c r="H80" s="116" t="str">
        <f>'6.Cons Profit &amp; Loss'!G49</f>
        <v>  22,068,634 </v>
      </c>
      <c r="I80" s="116" t="str">
        <f>'6.Cons Profit &amp; Loss'!H49</f>
        <v>  26,633,378 </v>
      </c>
    </row>
    <row r="81" ht="15.75" customHeight="1">
      <c r="B81" s="85"/>
      <c r="C81" s="85"/>
      <c r="D81" s="85"/>
      <c r="E81" s="85"/>
      <c r="F81" s="85"/>
      <c r="G81" s="85"/>
      <c r="H81" s="85"/>
      <c r="I81" s="85"/>
    </row>
    <row r="82" ht="15.75" customHeight="1">
      <c r="B82" s="117" t="s">
        <v>499</v>
      </c>
      <c r="C82" s="286" t="str">
        <f>AVERAGE(C80:I80)</f>
        <v>13895304.45</v>
      </c>
      <c r="D82" s="5"/>
      <c r="E82" s="5"/>
      <c r="F82" s="5"/>
      <c r="G82" s="5"/>
      <c r="H82" s="5"/>
      <c r="I82" s="6"/>
    </row>
    <row r="83" ht="15.75" customHeight="1">
      <c r="B83" s="117" t="s">
        <v>500</v>
      </c>
      <c r="C83" s="286" t="str">
        <f>'1.Project Cost and MOF'!D13</f>
        <v>56421575.64</v>
      </c>
      <c r="D83" s="5"/>
      <c r="E83" s="5"/>
      <c r="F83" s="5"/>
      <c r="G83" s="5"/>
      <c r="H83" s="5"/>
      <c r="I83" s="6"/>
    </row>
    <row r="84" ht="15.75" customHeight="1">
      <c r="B84" s="85"/>
      <c r="C84" s="85"/>
      <c r="D84" s="85"/>
      <c r="E84" s="85"/>
      <c r="F84" s="85"/>
      <c r="G84" s="85"/>
      <c r="H84" s="85"/>
      <c r="I84" s="85"/>
    </row>
    <row r="85" ht="15.75" customHeight="1">
      <c r="B85" s="287" t="s">
        <v>501</v>
      </c>
      <c r="C85" s="288" t="str">
        <f>C82/C83</f>
        <v>24.63%</v>
      </c>
      <c r="D85" s="5"/>
      <c r="E85" s="5"/>
      <c r="F85" s="5"/>
      <c r="G85" s="5"/>
      <c r="H85" s="5"/>
      <c r="I85" s="6"/>
    </row>
    <row r="86" ht="15.75" customHeight="1"/>
    <row r="87" ht="15.75" customHeight="1"/>
    <row r="88" ht="15.75" customHeight="1">
      <c r="B88" s="289" t="s">
        <v>502</v>
      </c>
    </row>
    <row r="89" ht="15.75" customHeight="1"/>
    <row r="90" ht="15.75" customHeight="1">
      <c r="B90" s="26" t="s">
        <v>503</v>
      </c>
    </row>
    <row r="91" ht="15.75" customHeight="1"/>
    <row r="92" ht="15.75" customHeight="1">
      <c r="B92" s="273" t="s">
        <v>174</v>
      </c>
      <c r="C92" s="273" t="s">
        <v>466</v>
      </c>
      <c r="D92" s="273" t="s">
        <v>177</v>
      </c>
      <c r="E92" s="273" t="s">
        <v>178</v>
      </c>
      <c r="F92" s="273" t="s">
        <v>179</v>
      </c>
      <c r="G92" s="273" t="s">
        <v>180</v>
      </c>
      <c r="H92" s="273" t="s">
        <v>181</v>
      </c>
      <c r="I92" s="273" t="s">
        <v>182</v>
      </c>
      <c r="J92" s="273" t="s">
        <v>183</v>
      </c>
    </row>
    <row r="93" ht="15.75" customHeight="1">
      <c r="B93" s="290"/>
      <c r="C93" s="290"/>
      <c r="D93" s="291"/>
      <c r="E93" s="291"/>
      <c r="F93" s="291"/>
      <c r="G93" s="291"/>
      <c r="H93" s="291"/>
      <c r="I93" s="291"/>
      <c r="J93" s="291"/>
    </row>
    <row r="94" ht="15.75" customHeight="1">
      <c r="B94" s="189" t="s">
        <v>504</v>
      </c>
      <c r="C94" s="292" t="str">
        <f>'1.Project Cost and MOF'!D13</f>
        <v>  56,421,576 </v>
      </c>
      <c r="D94" s="291"/>
      <c r="E94" s="291"/>
      <c r="F94" s="291"/>
      <c r="G94" s="291"/>
      <c r="H94" s="291"/>
      <c r="I94" s="291"/>
      <c r="J94" s="291"/>
    </row>
    <row r="95" ht="15.75" customHeight="1">
      <c r="B95" s="189" t="str">
        <f>B58</f>
        <v>Profit after Tax &amp; Dividend</v>
      </c>
      <c r="C95" s="189"/>
      <c r="D95" s="293" t="str">
        <f>'6.Cons Profit &amp; Loss'!B49</f>
        <v>  (58,579)</v>
      </c>
      <c r="E95" s="293" t="str">
        <f>'6.Cons Profit &amp; Loss'!C49</f>
        <v>  6,784,021 </v>
      </c>
      <c r="F95" s="293" t="str">
        <f>'6.Cons Profit &amp; Loss'!D49</f>
        <v>  10,134,869 </v>
      </c>
      <c r="G95" s="293" t="str">
        <f>'6.Cons Profit &amp; Loss'!E49</f>
        <v>  13,826,229 </v>
      </c>
      <c r="H95" s="293" t="str">
        <f>'6.Cons Profit &amp; Loss'!F49</f>
        <v>  17,878,579 </v>
      </c>
      <c r="I95" s="293" t="str">
        <f>'6.Cons Profit &amp; Loss'!G49</f>
        <v>  22,068,634 </v>
      </c>
      <c r="J95" s="293" t="str">
        <f>'6.Cons Profit &amp; Loss'!H49</f>
        <v>  26,633,378 </v>
      </c>
    </row>
    <row r="96" ht="15.75" customHeight="1">
      <c r="B96" s="189" t="str">
        <f t="shared" ref="B96:B97" si="11">B60</f>
        <v>Add: Deprication</v>
      </c>
      <c r="C96" s="189"/>
      <c r="D96" s="293" t="str">
        <f>'6.Cons Profit &amp; Loss'!B40</f>
        <v>  1,085,185 </v>
      </c>
      <c r="E96" s="293" t="str">
        <f>'6.Cons Profit &amp; Loss'!C40</f>
        <v>  1,085,185 </v>
      </c>
      <c r="F96" s="293" t="str">
        <f>'6.Cons Profit &amp; Loss'!D40</f>
        <v>  1,085,185 </v>
      </c>
      <c r="G96" s="293" t="str">
        <f>'6.Cons Profit &amp; Loss'!E40</f>
        <v>  1,085,185 </v>
      </c>
      <c r="H96" s="293" t="str">
        <f>'6.Cons Profit &amp; Loss'!F40</f>
        <v>  1,085,185 </v>
      </c>
      <c r="I96" s="293" t="str">
        <f>'6.Cons Profit &amp; Loss'!G40</f>
        <v>  1,085,185 </v>
      </c>
      <c r="J96" s="293" t="str">
        <f>'6.Cons Profit &amp; Loss'!H40</f>
        <v>  1,085,185 </v>
      </c>
    </row>
    <row r="97" ht="15.75" customHeight="1">
      <c r="B97" s="189" t="str">
        <f t="shared" si="11"/>
        <v>Add. Preliminary exp Written off</v>
      </c>
      <c r="C97" s="189"/>
      <c r="D97" s="293" t="str">
        <f>'6.Cons Profit &amp; Loss'!B41</f>
        <v>  12,588 </v>
      </c>
      <c r="E97" s="293" t="str">
        <f>'6.Cons Profit &amp; Loss'!C41</f>
        <v>  12,588 </v>
      </c>
      <c r="F97" s="293" t="str">
        <f>'6.Cons Profit &amp; Loss'!D41</f>
        <v>  12,588 </v>
      </c>
      <c r="G97" s="293" t="str">
        <f>'6.Cons Profit &amp; Loss'!E41</f>
        <v>  12,588 </v>
      </c>
      <c r="H97" s="293" t="str">
        <f>'6.Cons Profit &amp; Loss'!F41</f>
        <v>  12,588 </v>
      </c>
      <c r="I97" s="293" t="str">
        <f>'6.Cons Profit &amp; Loss'!G41</f>
        <v>  -   </v>
      </c>
      <c r="J97" s="293" t="str">
        <f>'6.Cons Profit &amp; Loss'!H41</f>
        <v>  -   </v>
      </c>
    </row>
    <row r="98" ht="15.75" customHeight="1">
      <c r="B98" s="189" t="str">
        <f>B63</f>
        <v>Net Cash Accrual (A)      </v>
      </c>
      <c r="C98" s="189"/>
      <c r="D98" s="293" t="str">
        <f t="shared" ref="D98:J98" si="12">SUM(D95:D97)</f>
        <v>  1,039,194 </v>
      </c>
      <c r="E98" s="293" t="str">
        <f t="shared" si="12"/>
        <v>  7,881,794 </v>
      </c>
      <c r="F98" s="293" t="str">
        <f t="shared" si="12"/>
        <v>  11,232,642 </v>
      </c>
      <c r="G98" s="293" t="str">
        <f t="shared" si="12"/>
        <v>  14,924,002 </v>
      </c>
      <c r="H98" s="293" t="str">
        <f t="shared" si="12"/>
        <v>  18,976,352 </v>
      </c>
      <c r="I98" s="293" t="str">
        <f t="shared" si="12"/>
        <v>  23,153,819 </v>
      </c>
      <c r="J98" s="293" t="str">
        <f t="shared" si="12"/>
        <v>  27,718,563 </v>
      </c>
    </row>
    <row r="99" ht="15.75" customHeight="1">
      <c r="B99" s="189" t="s">
        <v>505</v>
      </c>
      <c r="C99" s="294"/>
      <c r="D99" s="295" t="str">
        <f>D98-C94</f>
        <v>  (55,382,382)</v>
      </c>
      <c r="E99" s="295" t="str">
        <f t="shared" ref="E99:H99" si="13">D99+E98</f>
        <v>  (47,500,587)</v>
      </c>
      <c r="F99" s="295" t="str">
        <f t="shared" si="13"/>
        <v>  (36,267,946)</v>
      </c>
      <c r="G99" s="295" t="str">
        <f t="shared" si="13"/>
        <v>  (21,343,944)</v>
      </c>
      <c r="H99" s="295" t="str">
        <f t="shared" si="13"/>
        <v>  (2,367,592)</v>
      </c>
      <c r="I99" s="296"/>
      <c r="J99" s="296"/>
    </row>
    <row r="100" ht="15.75" customHeight="1">
      <c r="B100" s="121"/>
      <c r="C100" s="121"/>
      <c r="D100" s="121"/>
      <c r="E100" s="121"/>
      <c r="F100" s="121"/>
      <c r="G100" s="121"/>
      <c r="H100" s="121"/>
      <c r="I100" s="121"/>
      <c r="J100" s="121"/>
    </row>
    <row r="101" ht="15.75" customHeight="1">
      <c r="B101" s="59" t="s">
        <v>506</v>
      </c>
      <c r="C101" s="121"/>
      <c r="D101" s="297" t="str">
        <f>4+(-G99/H98)</f>
        <v>5.12</v>
      </c>
      <c r="E101" s="121"/>
      <c r="F101" s="121"/>
      <c r="G101" s="121"/>
      <c r="H101" s="121"/>
      <c r="I101" s="121"/>
      <c r="J101" s="121"/>
    </row>
    <row r="102" ht="15.75" customHeight="1">
      <c r="B102" s="121"/>
      <c r="C102" s="121"/>
      <c r="D102" s="121"/>
      <c r="E102" s="121"/>
      <c r="F102" s="121"/>
      <c r="G102" s="121"/>
      <c r="H102" s="121"/>
      <c r="I102" s="121"/>
      <c r="J102" s="121"/>
    </row>
    <row r="103" ht="15.75" customHeight="1">
      <c r="B103" s="289" t="s">
        <v>507</v>
      </c>
    </row>
    <row r="104" ht="15.75" customHeight="1"/>
    <row r="105" ht="15.75" customHeight="1">
      <c r="B105" s="26" t="s">
        <v>508</v>
      </c>
    </row>
    <row r="106" ht="15.75" customHeight="1"/>
    <row r="107" ht="15.75" customHeight="1">
      <c r="B107" s="283" t="s">
        <v>174</v>
      </c>
      <c r="C107" s="283" t="s">
        <v>177</v>
      </c>
      <c r="D107" s="283" t="s">
        <v>178</v>
      </c>
      <c r="E107" s="283" t="s">
        <v>179</v>
      </c>
      <c r="F107" s="283" t="s">
        <v>180</v>
      </c>
      <c r="G107" s="283" t="s">
        <v>181</v>
      </c>
      <c r="H107" s="283" t="s">
        <v>182</v>
      </c>
      <c r="I107" s="283" t="s">
        <v>183</v>
      </c>
    </row>
    <row r="108" ht="15.75" customHeight="1">
      <c r="B108" s="284"/>
      <c r="C108" s="285"/>
      <c r="D108" s="285"/>
      <c r="E108" s="285"/>
      <c r="F108" s="285"/>
      <c r="G108" s="285"/>
      <c r="H108" s="285"/>
      <c r="I108" s="285"/>
    </row>
    <row r="109" ht="15.75" customHeight="1">
      <c r="B109" s="85" t="s">
        <v>509</v>
      </c>
      <c r="C109" s="116" t="str">
        <f>'6.Cons Profit &amp; Loss'!B38</f>
        <v>  3,985,187 </v>
      </c>
      <c r="D109" s="116" t="str">
        <f>'6.Cons Profit &amp; Loss'!C38</f>
        <v>  15,647,777 </v>
      </c>
      <c r="E109" s="116" t="str">
        <f>'6.Cons Profit &amp; Loss'!D38</f>
        <v>  21,453,549 </v>
      </c>
      <c r="F109" s="116" t="str">
        <f>'6.Cons Profit &amp; Loss'!E38</f>
        <v>  27,800,780 </v>
      </c>
      <c r="G109" s="116" t="str">
        <f>'6.Cons Profit &amp; Loss'!F38</f>
        <v>  34,729,099 </v>
      </c>
      <c r="H109" s="116" t="str">
        <f>'6.Cons Profit &amp; Loss'!G38</f>
        <v>  41,936,153 </v>
      </c>
      <c r="I109" s="116" t="str">
        <f>'6.Cons Profit &amp; Loss'!H38</f>
        <v>  49,777,089 </v>
      </c>
    </row>
    <row r="110" ht="15.75" customHeight="1">
      <c r="B110" s="85" t="s">
        <v>510</v>
      </c>
      <c r="C110" s="116" t="str">
        <f>'6.Cons Profit &amp; Loss'!B40</f>
        <v>  1,085,185 </v>
      </c>
      <c r="D110" s="116" t="str">
        <f>'6.Cons Profit &amp; Loss'!C40</f>
        <v>  1,085,185 </v>
      </c>
      <c r="E110" s="116" t="str">
        <f>'6.Cons Profit &amp; Loss'!D40</f>
        <v>  1,085,185 </v>
      </c>
      <c r="F110" s="116" t="str">
        <f>'6.Cons Profit &amp; Loss'!E40</f>
        <v>  1,085,185 </v>
      </c>
      <c r="G110" s="116" t="str">
        <f>'6.Cons Profit &amp; Loss'!F40</f>
        <v>  1,085,185 </v>
      </c>
      <c r="H110" s="116" t="str">
        <f>'6.Cons Profit &amp; Loss'!G40</f>
        <v>  1,085,185 </v>
      </c>
      <c r="I110" s="116" t="str">
        <f>'6.Cons Profit &amp; Loss'!H40</f>
        <v>  1,085,185 </v>
      </c>
    </row>
    <row r="111" ht="15.75" customHeight="1">
      <c r="B111" s="85" t="s">
        <v>511</v>
      </c>
      <c r="C111" s="116" t="str">
        <f>'6.Cons Profit &amp; Loss'!B41</f>
        <v>  12,588 </v>
      </c>
      <c r="D111" s="116" t="str">
        <f>'6.Cons Profit &amp; Loss'!C41</f>
        <v>  12,588 </v>
      </c>
      <c r="E111" s="116" t="str">
        <f>'6.Cons Profit &amp; Loss'!D41</f>
        <v>  12,588 </v>
      </c>
      <c r="F111" s="116" t="str">
        <f>'6.Cons Profit &amp; Loss'!E41</f>
        <v>  12,588 </v>
      </c>
      <c r="G111" s="116" t="str">
        <f>'6.Cons Profit &amp; Loss'!F41</f>
        <v>  12,588 </v>
      </c>
      <c r="H111" s="116" t="str">
        <f>'6.Cons Profit &amp; Loss'!G41</f>
        <v>  -   </v>
      </c>
      <c r="I111" s="116" t="str">
        <f>'6.Cons Profit &amp; Loss'!H41</f>
        <v>  -   </v>
      </c>
    </row>
    <row r="112" ht="15.75" customHeight="1">
      <c r="B112" s="85" t="s">
        <v>512</v>
      </c>
      <c r="C112" s="116" t="str">
        <f>'8.Cash Flow '!C26</f>
        <v>  -   </v>
      </c>
      <c r="D112" s="116" t="str">
        <f>'8.Cash Flow '!D26</f>
        <v>  -   </v>
      </c>
      <c r="E112" s="116" t="str">
        <f>'8.Cash Flow '!E26</f>
        <v>  -   </v>
      </c>
      <c r="F112" s="116" t="str">
        <f>'8.Cash Flow '!F26</f>
        <v>  -   </v>
      </c>
      <c r="G112" s="116" t="str">
        <f>'8.Cash Flow '!G26</f>
        <v>  -   </v>
      </c>
      <c r="H112" s="116" t="str">
        <f>'8.Cash Flow '!H26</f>
        <v>  -   </v>
      </c>
      <c r="I112" s="116" t="str">
        <f>'8.Cash Flow '!I26</f>
        <v>  -   </v>
      </c>
    </row>
    <row r="113" ht="15.75" customHeight="1">
      <c r="B113" s="117" t="s">
        <v>89</v>
      </c>
      <c r="C113" s="118" t="str">
        <f t="shared" ref="C113:I113" si="14">SUM(C109:C112)</f>
        <v>  5,082,960 </v>
      </c>
      <c r="D113" s="118" t="str">
        <f t="shared" si="14"/>
        <v>  16,745,550 </v>
      </c>
      <c r="E113" s="118" t="str">
        <f t="shared" si="14"/>
        <v>  22,551,322 </v>
      </c>
      <c r="F113" s="118" t="str">
        <f t="shared" si="14"/>
        <v>  28,898,553 </v>
      </c>
      <c r="G113" s="118" t="str">
        <f t="shared" si="14"/>
        <v>  35,826,872 </v>
      </c>
      <c r="H113" s="118" t="str">
        <f t="shared" si="14"/>
        <v>  43,021,338 </v>
      </c>
      <c r="I113" s="118" t="str">
        <f t="shared" si="14"/>
        <v>  50,862,274 </v>
      </c>
    </row>
    <row r="114" ht="15.75" customHeight="1">
      <c r="B114" s="85"/>
      <c r="C114" s="85"/>
      <c r="D114" s="85"/>
      <c r="E114" s="85"/>
      <c r="F114" s="85"/>
      <c r="G114" s="85"/>
      <c r="H114" s="85"/>
      <c r="I114" s="85"/>
    </row>
    <row r="115" ht="15.75" customHeight="1">
      <c r="B115" s="85" t="s">
        <v>513</v>
      </c>
      <c r="C115" s="118" t="str">
        <f>'8.Cash Flow '!C25+'8.Cash Flow '!C26</f>
        <v>  -   </v>
      </c>
      <c r="D115" s="118" t="str">
        <f>'8.Cash Flow '!D25+'8.Cash Flow '!D26</f>
        <v>  -   </v>
      </c>
      <c r="E115" s="118" t="str">
        <f>'8.Cash Flow '!E25+'8.Cash Flow '!E26</f>
        <v>  -   </v>
      </c>
      <c r="F115" s="118" t="str">
        <f>'8.Cash Flow '!F25+'8.Cash Flow '!F26</f>
        <v>  -   </v>
      </c>
      <c r="G115" s="118" t="str">
        <f>'8.Cash Flow '!G25+'8.Cash Flow '!G26</f>
        <v>  -   </v>
      </c>
      <c r="H115" s="118" t="str">
        <f>'8.Cash Flow '!H25+'8.Cash Flow '!H26</f>
        <v>  -   </v>
      </c>
      <c r="I115" s="118" t="str">
        <f>'8.Cash Flow '!I25+'8.Cash Flow '!I26</f>
        <v>  -   </v>
      </c>
    </row>
    <row r="116" ht="15.75" customHeight="1">
      <c r="B116" s="85"/>
      <c r="C116" s="85"/>
      <c r="D116" s="85"/>
      <c r="E116" s="85"/>
      <c r="F116" s="85"/>
      <c r="G116" s="85"/>
      <c r="H116" s="85"/>
      <c r="I116" s="85"/>
    </row>
    <row r="117" ht="15.75" customHeight="1">
      <c r="B117" s="117" t="s">
        <v>514</v>
      </c>
      <c r="C117" s="298" t="str">
        <f t="shared" ref="C117:I117" si="15">C113/C115</f>
        <v>#DIV/0!</v>
      </c>
      <c r="D117" s="298" t="str">
        <f t="shared" si="15"/>
        <v>#DIV/0!</v>
      </c>
      <c r="E117" s="298" t="str">
        <f t="shared" si="15"/>
        <v>#DIV/0!</v>
      </c>
      <c r="F117" s="298" t="str">
        <f t="shared" si="15"/>
        <v>#DIV/0!</v>
      </c>
      <c r="G117" s="298" t="str">
        <f t="shared" si="15"/>
        <v>#DIV/0!</v>
      </c>
      <c r="H117" s="298" t="str">
        <f t="shared" si="15"/>
        <v>#DIV/0!</v>
      </c>
      <c r="I117" s="298" t="str">
        <f t="shared" si="15"/>
        <v>#DIV/0!</v>
      </c>
    </row>
    <row r="118" ht="15.75" customHeight="1">
      <c r="B118" s="110"/>
      <c r="C118" s="110"/>
      <c r="D118" s="110"/>
      <c r="E118" s="110"/>
      <c r="F118" s="110"/>
      <c r="G118" s="110"/>
      <c r="H118" s="110"/>
      <c r="I118" s="110"/>
    </row>
    <row r="119" ht="15.75" customHeight="1">
      <c r="B119" s="110" t="s">
        <v>515</v>
      </c>
      <c r="C119" s="173" t="str">
        <f>AVERAGE(C117:I117)</f>
        <v>#DIV/0!</v>
      </c>
      <c r="D119" s="110"/>
      <c r="E119" s="110"/>
      <c r="F119" s="110"/>
      <c r="G119" s="110"/>
      <c r="H119" s="110"/>
      <c r="I119" s="110"/>
    </row>
    <row r="120" ht="15.75" customHeight="1"/>
    <row r="121" ht="29.25" customHeight="1">
      <c r="B121" s="109" t="s">
        <v>516</v>
      </c>
    </row>
    <row r="122" ht="15.75" customHeight="1"/>
    <row r="123" ht="15.75" customHeight="1">
      <c r="B123" s="299" t="s">
        <v>517</v>
      </c>
      <c r="C123" s="2"/>
      <c r="D123" s="2"/>
      <c r="E123" s="2"/>
      <c r="F123" s="2"/>
      <c r="G123" s="2"/>
      <c r="H123" s="2"/>
      <c r="I123" s="2"/>
      <c r="K123" s="300"/>
    </row>
    <row r="124" ht="15.75" customHeight="1">
      <c r="B124" s="176" t="s">
        <v>518</v>
      </c>
      <c r="C124" s="177" t="s">
        <v>177</v>
      </c>
      <c r="D124" s="177" t="s">
        <v>178</v>
      </c>
      <c r="E124" s="177" t="s">
        <v>179</v>
      </c>
      <c r="F124" s="177" t="s">
        <v>180</v>
      </c>
      <c r="G124" s="177" t="s">
        <v>181</v>
      </c>
      <c r="H124" s="177" t="s">
        <v>182</v>
      </c>
      <c r="I124" s="177" t="s">
        <v>183</v>
      </c>
    </row>
    <row r="125" ht="15.75" customHeight="1">
      <c r="B125" s="155" t="str">
        <f>'6.Cons Profit &amp; Loss'!A6</f>
        <v>Faclitiy 1 - Trading Activity</v>
      </c>
      <c r="C125" s="301" t="str">
        <f>'6.Cons Profit &amp; Loss'!B6*(1+$M$126)</f>
        <v>  70,871,260 </v>
      </c>
      <c r="D125" s="301" t="str">
        <f>'6.Cons Profit &amp; Loss'!C6*(1+$M$126)</f>
        <v>  136,112,618 </v>
      </c>
      <c r="E125" s="301" t="str">
        <f>'6.Cons Profit &amp; Loss'!D6*(1+$M$126)</f>
        <v>  164,567,525 </v>
      </c>
      <c r="F125" s="301" t="str">
        <f>'6.Cons Profit &amp; Loss'!E6*(1+$M$126)</f>
        <v>  195,527,641 </v>
      </c>
      <c r="G125" s="301" t="str">
        <f>'6.Cons Profit &amp; Loss'!F6*(1+$M$126)</f>
        <v>  229,172,350 </v>
      </c>
      <c r="H125" s="301" t="str">
        <f>'6.Cons Profit &amp; Loss'!G6*(1+$M$126)</f>
        <v>  265,692,710 </v>
      </c>
      <c r="I125" s="301" t="str">
        <f>'6.Cons Profit &amp; Loss'!H6*(1+$M$126)</f>
        <v>  305,292,176 </v>
      </c>
    </row>
    <row r="126" ht="15.75" customHeight="1">
      <c r="B126" s="155" t="str">
        <f>'6.Cons Profit &amp; Loss'!A7</f>
        <v>Faclitiy 2 - Processing Unit- Cleaning, Grading</v>
      </c>
      <c r="C126" s="301" t="str">
        <f>'6.Cons Profit &amp; Loss'!B7*(1+$M$126)</f>
        <v>  3,820,938 </v>
      </c>
      <c r="D126" s="301" t="str">
        <f>'6.Cons Profit &amp; Loss'!C7*(1+$M$126)</f>
        <v>  6,193,327 </v>
      </c>
      <c r="E126" s="301" t="str">
        <f>'6.Cons Profit &amp; Loss'!D7*(1+$M$126)</f>
        <v>  8,701,344 </v>
      </c>
      <c r="F126" s="301" t="str">
        <f>'6.Cons Profit &amp; Loss'!E7*(1+$M$126)</f>
        <v>  11,444,680 </v>
      </c>
      <c r="G126" s="301" t="str">
        <f>'6.Cons Profit &amp; Loss'!F7*(1+$M$126)</f>
        <v>  14,440,596 </v>
      </c>
      <c r="H126" s="301" t="str">
        <f>'6.Cons Profit &amp; Loss'!G7*(1+$M$126)</f>
        <v>  17,707,491 </v>
      </c>
      <c r="I126" s="301" t="str">
        <f>'6.Cons Profit &amp; Loss'!H7*(1+$M$126)</f>
        <v>  21,264,975 </v>
      </c>
      <c r="L126" s="59" t="s">
        <v>519</v>
      </c>
      <c r="M126" s="302">
        <v>0.05</v>
      </c>
    </row>
    <row r="127" ht="15.75" customHeight="1">
      <c r="B127" s="155" t="str">
        <f>'6.Cons Profit &amp; Loss'!A8</f>
        <v>Faclitiy 3 - Warehouse</v>
      </c>
      <c r="C127" s="301" t="str">
        <f>'6.Cons Profit &amp; Loss'!B8*(1+$M$126)</f>
        <v>  4,536,000 </v>
      </c>
      <c r="D127" s="301" t="str">
        <f>'6.Cons Profit &amp; Loss'!C8*(1+$M$126)</f>
        <v>  5,060,475 </v>
      </c>
      <c r="E127" s="301" t="str">
        <f>'6.Cons Profit &amp; Loss'!D8*(1+$M$126)</f>
        <v>  5,626,058 </v>
      </c>
      <c r="F127" s="301" t="str">
        <f>'6.Cons Profit &amp; Loss'!E8*(1+$M$126)</f>
        <v>  6,235,547 </v>
      </c>
      <c r="G127" s="301" t="str">
        <f>'6.Cons Profit &amp; Loss'!F8*(1+$M$126)</f>
        <v>  6,891,920 </v>
      </c>
      <c r="H127" s="301" t="str">
        <f>'6.Cons Profit &amp; Loss'!G8*(1+$M$126)</f>
        <v>  7,236,516 </v>
      </c>
      <c r="I127" s="301" t="str">
        <f>'6.Cons Profit &amp; Loss'!H8*(1+$M$126)</f>
        <v>  7,598,342 </v>
      </c>
      <c r="L127" s="59" t="s">
        <v>520</v>
      </c>
      <c r="M127" s="302">
        <v>0.05</v>
      </c>
    </row>
    <row r="128" ht="15.75" customHeight="1">
      <c r="B128" s="155" t="str">
        <f>'6.Cons Profit &amp; Loss'!A9</f>
        <v>Faclitiy 4 - Custom Hiring </v>
      </c>
      <c r="C128" s="301" t="str">
        <f>'6.Cons Profit &amp; Loss'!B9*(1+$M$126)</f>
        <v>  -   </v>
      </c>
      <c r="D128" s="301" t="str">
        <f>'6.Cons Profit &amp; Loss'!C9*(1+$M$126)</f>
        <v>  -   </v>
      </c>
      <c r="E128" s="301" t="str">
        <f>'6.Cons Profit &amp; Loss'!D9*(1+$M$126)</f>
        <v>  -   </v>
      </c>
      <c r="F128" s="301" t="str">
        <f>'6.Cons Profit &amp; Loss'!E9*(1+$M$126)</f>
        <v>  -   </v>
      </c>
      <c r="G128" s="301" t="str">
        <f>'6.Cons Profit &amp; Loss'!F9*(1+$M$126)</f>
        <v>  -   </v>
      </c>
      <c r="H128" s="301" t="str">
        <f>'6.Cons Profit &amp; Loss'!G9*(1+$M$126)</f>
        <v>  -   </v>
      </c>
      <c r="I128" s="301" t="str">
        <f>'6.Cons Profit &amp; Loss'!H9*(1+$M$126)</f>
        <v>  -   </v>
      </c>
    </row>
    <row r="129" ht="15.75" customHeight="1">
      <c r="B129" s="155" t="str">
        <f>'6.Cons Profit &amp; Loss'!A10</f>
        <v>Faclitiy 5 - Agri Input Centre</v>
      </c>
      <c r="C129" s="301" t="str">
        <f>'6.Cons Profit &amp; Loss'!B10*(1+$M$126)</f>
        <v>  -   </v>
      </c>
      <c r="D129" s="301" t="str">
        <f>'6.Cons Profit &amp; Loss'!C10*(1+$M$126)</f>
        <v>  -   </v>
      </c>
      <c r="E129" s="301" t="str">
        <f>'6.Cons Profit &amp; Loss'!D10*(1+$M$126)</f>
        <v>  -   </v>
      </c>
      <c r="F129" s="301" t="str">
        <f>'6.Cons Profit &amp; Loss'!E10*(1+$M$126)</f>
        <v>  -   </v>
      </c>
      <c r="G129" s="301" t="str">
        <f>'6.Cons Profit &amp; Loss'!F10*(1+$M$126)</f>
        <v>  -   </v>
      </c>
      <c r="H129" s="301" t="str">
        <f>'6.Cons Profit &amp; Loss'!G10*(1+$M$126)</f>
        <v>  -   </v>
      </c>
      <c r="I129" s="301" t="str">
        <f>'6.Cons Profit &amp; Loss'!H10*(1+$M$126)</f>
        <v>  -   </v>
      </c>
    </row>
    <row r="130" ht="15.75" customHeight="1">
      <c r="B130" s="155" t="str">
        <f>'6.Cons Profit &amp; Loss'!A11</f>
        <v>Facility 6 - Processing Unit - Horti Commodity</v>
      </c>
      <c r="C130" s="301" t="str">
        <f>'6.Cons Profit &amp; Loss'!B11*(1+$M$126)</f>
        <v>  -   </v>
      </c>
      <c r="D130" s="301" t="str">
        <f>'6.Cons Profit &amp; Loss'!C11*(1+$M$126)</f>
        <v>  -   </v>
      </c>
      <c r="E130" s="301" t="str">
        <f>'6.Cons Profit &amp; Loss'!D11*(1+$M$126)</f>
        <v>  -   </v>
      </c>
      <c r="F130" s="301" t="str">
        <f>'6.Cons Profit &amp; Loss'!E11*(1+$M$126)</f>
        <v>  -   </v>
      </c>
      <c r="G130" s="301" t="str">
        <f>'6.Cons Profit &amp; Loss'!F11*(1+$M$126)</f>
        <v>  -   </v>
      </c>
      <c r="H130" s="301" t="str">
        <f>'6.Cons Profit &amp; Loss'!G11*(1+$M$126)</f>
        <v>  -   </v>
      </c>
      <c r="I130" s="301" t="str">
        <f>'6.Cons Profit &amp; Loss'!H11*(1+$M$126)</f>
        <v>  -   </v>
      </c>
    </row>
    <row r="131" ht="15.75" customHeight="1">
      <c r="B131" s="155" t="str">
        <f>'6.Cons Profit &amp; Loss'!A12</f>
        <v/>
      </c>
      <c r="C131" s="301" t="str">
        <f>'6.Cons Profit &amp; Loss'!B12*(1+$M$126)</f>
        <v>  -   </v>
      </c>
      <c r="D131" s="301" t="str">
        <f>'6.Cons Profit &amp; Loss'!C12*(1+$M$126)</f>
        <v>  -   </v>
      </c>
      <c r="E131" s="301" t="str">
        <f>'6.Cons Profit &amp; Loss'!D12*(1+$M$126)</f>
        <v>  -   </v>
      </c>
      <c r="F131" s="301" t="str">
        <f>'6.Cons Profit &amp; Loss'!E12*(1+$M$126)</f>
        <v>  -   </v>
      </c>
      <c r="G131" s="301" t="str">
        <f>'6.Cons Profit &amp; Loss'!F12*(1+$M$126)</f>
        <v>  -   </v>
      </c>
      <c r="H131" s="301" t="str">
        <f>'6.Cons Profit &amp; Loss'!G12*(1+$M$126)</f>
        <v>  -   </v>
      </c>
      <c r="I131" s="301" t="str">
        <f>'6.Cons Profit &amp; Loss'!H12*(1+$M$126)</f>
        <v>  -   </v>
      </c>
    </row>
    <row r="132" ht="15.75" customHeight="1">
      <c r="B132" s="155" t="s">
        <v>521</v>
      </c>
      <c r="C132" s="301" t="str">
        <f t="shared" ref="C132:I132" si="16">SUM(C125:C131)</f>
        <v>  79,228,198 </v>
      </c>
      <c r="D132" s="301" t="str">
        <f t="shared" si="16"/>
        <v>  147,366,420 </v>
      </c>
      <c r="E132" s="301" t="str">
        <f t="shared" si="16"/>
        <v>  178,894,927 </v>
      </c>
      <c r="F132" s="301" t="str">
        <f t="shared" si="16"/>
        <v>  213,207,868 </v>
      </c>
      <c r="G132" s="301" t="str">
        <f t="shared" si="16"/>
        <v>  250,504,866 </v>
      </c>
      <c r="H132" s="301" t="str">
        <f t="shared" si="16"/>
        <v>  290,636,718 </v>
      </c>
      <c r="I132" s="301" t="str">
        <f t="shared" si="16"/>
        <v>  334,155,493 </v>
      </c>
    </row>
    <row r="133" ht="15.75" customHeight="1">
      <c r="B133" s="155" t="s">
        <v>522</v>
      </c>
      <c r="C133" s="301"/>
      <c r="D133" s="301"/>
      <c r="E133" s="301"/>
      <c r="F133" s="301"/>
      <c r="G133" s="301"/>
      <c r="H133" s="301"/>
      <c r="I133" s="301"/>
    </row>
    <row r="134" ht="15.75" customHeight="1">
      <c r="B134" s="155" t="s">
        <v>523</v>
      </c>
      <c r="C134" s="301" t="str">
        <f>'6.Cons Profit &amp; Loss'!B34</f>
        <v>  11,600,000 </v>
      </c>
      <c r="D134" s="301" t="str">
        <f>'6.Cons Profit &amp; Loss'!C34</f>
        <v>  12,180,000 </v>
      </c>
      <c r="E134" s="301" t="str">
        <f>'6.Cons Profit &amp; Loss'!D34</f>
        <v>  12,789,000 </v>
      </c>
      <c r="F134" s="301" t="str">
        <f>'6.Cons Profit &amp; Loss'!E34</f>
        <v>  13,428,450 </v>
      </c>
      <c r="G134" s="301" t="str">
        <f>'6.Cons Profit &amp; Loss'!F34</f>
        <v>  14,099,873 </v>
      </c>
      <c r="H134" s="301" t="str">
        <f>'6.Cons Profit &amp; Loss'!G34</f>
        <v>  14,804,866 </v>
      </c>
      <c r="I134" s="301" t="str">
        <f>'6.Cons Profit &amp; Loss'!H34</f>
        <v>  15,545,109 </v>
      </c>
    </row>
    <row r="135" ht="15.75" customHeight="1">
      <c r="B135" s="155" t="s">
        <v>385</v>
      </c>
      <c r="C135" s="301" t="str">
        <f>'6.Cons Profit &amp; Loss'!B23*(1+M126)</f>
        <v>  62,863,752 </v>
      </c>
      <c r="D135" s="301" t="str">
        <f>'6.Cons Profit &amp; Loss'!C23*(1+N126)</f>
        <v>  112,521,195 </v>
      </c>
      <c r="E135" s="301" t="str">
        <f>'6.Cons Profit &amp; Loss'!D23*(1+O126)</f>
        <v>  136,133,572 </v>
      </c>
      <c r="F135" s="301" t="str">
        <f>'6.Cons Profit &amp; Loss'!E23*(1+P126)</f>
        <v>  161,825,883 </v>
      </c>
      <c r="G135" s="301" t="str">
        <f>'6.Cons Profit &amp; Loss'!F23*(1+Q126)</f>
        <v>  189,747,091 </v>
      </c>
      <c r="H135" s="301" t="str">
        <f>'6.Cons Profit &amp; Loss'!G23*(1+R126)</f>
        <v>  220,055,855 </v>
      </c>
      <c r="I135" s="301" t="str">
        <f>'6.Cons Profit &amp; Loss'!H23*(1+S126)</f>
        <v>  252,921,128 </v>
      </c>
    </row>
    <row r="136" ht="15.75" customHeight="1">
      <c r="B136" s="155" t="s">
        <v>524</v>
      </c>
      <c r="C136" s="301" t="str">
        <f t="shared" ref="C136:I136" si="17">SUM(C134:C135)</f>
        <v>  74,463,752 </v>
      </c>
      <c r="D136" s="301" t="str">
        <f t="shared" si="17"/>
        <v>  124,701,195 </v>
      </c>
      <c r="E136" s="301" t="str">
        <f t="shared" si="17"/>
        <v>  148,922,572 </v>
      </c>
      <c r="F136" s="301" t="str">
        <f t="shared" si="17"/>
        <v>  175,254,333 </v>
      </c>
      <c r="G136" s="301" t="str">
        <f t="shared" si="17"/>
        <v>  203,846,963 </v>
      </c>
      <c r="H136" s="301" t="str">
        <f t="shared" si="17"/>
        <v>  234,860,721 </v>
      </c>
      <c r="I136" s="301" t="str">
        <f t="shared" si="17"/>
        <v>  268,466,238 </v>
      </c>
    </row>
    <row r="137" ht="15.75" customHeight="1">
      <c r="B137" s="158" t="s">
        <v>525</v>
      </c>
      <c r="C137" s="303" t="str">
        <f t="shared" ref="C137:I137" si="18">+C132-C136</f>
        <v>  4,764,446 </v>
      </c>
      <c r="D137" s="303" t="str">
        <f t="shared" si="18"/>
        <v>  22,665,225 </v>
      </c>
      <c r="E137" s="303" t="str">
        <f t="shared" si="18"/>
        <v>  29,972,355 </v>
      </c>
      <c r="F137" s="303" t="str">
        <f t="shared" si="18"/>
        <v>  37,953,535 </v>
      </c>
      <c r="G137" s="303" t="str">
        <f t="shared" si="18"/>
        <v>  46,657,902 </v>
      </c>
      <c r="H137" s="303" t="str">
        <f t="shared" si="18"/>
        <v>  55,775,997 </v>
      </c>
      <c r="I137" s="303" t="str">
        <f t="shared" si="18"/>
        <v>  65,689,255 </v>
      </c>
    </row>
    <row r="138" ht="15.75" customHeight="1">
      <c r="B138" s="269"/>
      <c r="C138" s="304"/>
      <c r="D138" s="304"/>
      <c r="E138" s="304"/>
      <c r="F138" s="304"/>
      <c r="G138" s="304"/>
      <c r="H138" s="304"/>
      <c r="I138" s="304"/>
    </row>
    <row r="139" ht="15.75" customHeight="1">
      <c r="B139" s="176" t="s">
        <v>526</v>
      </c>
      <c r="C139" s="177" t="s">
        <v>177</v>
      </c>
      <c r="D139" s="177" t="s">
        <v>178</v>
      </c>
      <c r="E139" s="177" t="s">
        <v>179</v>
      </c>
      <c r="F139" s="177" t="s">
        <v>180</v>
      </c>
      <c r="G139" s="177" t="s">
        <v>181</v>
      </c>
      <c r="H139" s="177" t="s">
        <v>182</v>
      </c>
      <c r="I139" s="177" t="s">
        <v>183</v>
      </c>
    </row>
    <row r="140" ht="15.75" customHeight="1">
      <c r="B140" s="155" t="str">
        <f t="shared" ref="B140:B146" si="19">B125</f>
        <v>Faclitiy 1 - Trading Activity</v>
      </c>
      <c r="C140" s="305" t="str">
        <f>'6.Cons Profit &amp; Loss'!B6</f>
        <v>  67,496,439 </v>
      </c>
      <c r="D140" s="305" t="str">
        <f>'6.Cons Profit &amp; Loss'!C6</f>
        <v>  129,631,065 </v>
      </c>
      <c r="E140" s="305" t="str">
        <f>'6.Cons Profit &amp; Loss'!D6</f>
        <v>  156,730,976 </v>
      </c>
      <c r="F140" s="305" t="str">
        <f>'6.Cons Profit &amp; Loss'!E6</f>
        <v>  186,216,801 </v>
      </c>
      <c r="G140" s="305" t="str">
        <f>'6.Cons Profit &amp; Loss'!F6</f>
        <v>  218,259,381 </v>
      </c>
      <c r="H140" s="305" t="str">
        <f>'6.Cons Profit &amp; Loss'!G6</f>
        <v>  253,040,676 </v>
      </c>
      <c r="I140" s="305" t="str">
        <f>'6.Cons Profit &amp; Loss'!H6</f>
        <v>  290,754,453 </v>
      </c>
    </row>
    <row r="141" ht="15.75" customHeight="1">
      <c r="B141" s="155" t="str">
        <f t="shared" si="19"/>
        <v>Faclitiy 2 - Processing Unit- Cleaning, Grading</v>
      </c>
      <c r="C141" s="305" t="str">
        <f>'6.Cons Profit &amp; Loss'!B7</f>
        <v>  3,638,988 </v>
      </c>
      <c r="D141" s="305" t="str">
        <f>'6.Cons Profit &amp; Loss'!C7</f>
        <v>  5,898,407 </v>
      </c>
      <c r="E141" s="305" t="str">
        <f>'6.Cons Profit &amp; Loss'!D7</f>
        <v>  8,286,995 </v>
      </c>
      <c r="F141" s="305" t="str">
        <f>'6.Cons Profit &amp; Loss'!E7</f>
        <v>  10,899,695 </v>
      </c>
      <c r="G141" s="305" t="str">
        <f>'6.Cons Profit &amp; Loss'!F7</f>
        <v>  13,752,948 </v>
      </c>
      <c r="H141" s="305" t="str">
        <f>'6.Cons Profit &amp; Loss'!G7</f>
        <v>  16,864,277 </v>
      </c>
      <c r="I141" s="305" t="str">
        <f>'6.Cons Profit &amp; Loss'!H7</f>
        <v>  20,252,357 </v>
      </c>
    </row>
    <row r="142" ht="15.75" customHeight="1">
      <c r="B142" s="155" t="str">
        <f t="shared" si="19"/>
        <v>Faclitiy 3 - Warehouse</v>
      </c>
      <c r="C142" s="305" t="str">
        <f>'6.Cons Profit &amp; Loss'!B8</f>
        <v>  4,320,000 </v>
      </c>
      <c r="D142" s="305" t="str">
        <f>'6.Cons Profit &amp; Loss'!C8</f>
        <v>  4,819,500 </v>
      </c>
      <c r="E142" s="305" t="str">
        <f>'6.Cons Profit &amp; Loss'!D8</f>
        <v>  5,358,150 </v>
      </c>
      <c r="F142" s="305" t="str">
        <f>'6.Cons Profit &amp; Loss'!E8</f>
        <v>  5,938,616 </v>
      </c>
      <c r="G142" s="305" t="str">
        <f>'6.Cons Profit &amp; Loss'!F8</f>
        <v>  6,563,734 </v>
      </c>
      <c r="H142" s="305" t="str">
        <f>'6.Cons Profit &amp; Loss'!G8</f>
        <v>  6,891,920 </v>
      </c>
      <c r="I142" s="305" t="str">
        <f>'6.Cons Profit &amp; Loss'!H8</f>
        <v>  7,236,516 </v>
      </c>
    </row>
    <row r="143" ht="15.75" customHeight="1">
      <c r="B143" s="155" t="str">
        <f t="shared" si="19"/>
        <v>Faclitiy 4 - Custom Hiring </v>
      </c>
      <c r="C143" s="305" t="str">
        <f>'6.Cons Profit &amp; Loss'!B9</f>
        <v>  -   </v>
      </c>
      <c r="D143" s="305" t="str">
        <f>'6.Cons Profit &amp; Loss'!C9</f>
        <v>  -   </v>
      </c>
      <c r="E143" s="305" t="str">
        <f>'6.Cons Profit &amp; Loss'!D9</f>
        <v>  -   </v>
      </c>
      <c r="F143" s="305" t="str">
        <f>'6.Cons Profit &amp; Loss'!E9</f>
        <v>  -   </v>
      </c>
      <c r="G143" s="305" t="str">
        <f>'6.Cons Profit &amp; Loss'!F9</f>
        <v>  -   </v>
      </c>
      <c r="H143" s="305" t="str">
        <f>'6.Cons Profit &amp; Loss'!G9</f>
        <v>  -   </v>
      </c>
      <c r="I143" s="305" t="str">
        <f>'6.Cons Profit &amp; Loss'!H9</f>
        <v>  -   </v>
      </c>
    </row>
    <row r="144" ht="15.75" customHeight="1">
      <c r="B144" s="155" t="str">
        <f t="shared" si="19"/>
        <v>Faclitiy 5 - Agri Input Centre</v>
      </c>
      <c r="C144" s="305" t="str">
        <f>'6.Cons Profit &amp; Loss'!B10</f>
        <v>  -   </v>
      </c>
      <c r="D144" s="305" t="str">
        <f>'6.Cons Profit &amp; Loss'!C10</f>
        <v>  -   </v>
      </c>
      <c r="E144" s="305" t="str">
        <f>'6.Cons Profit &amp; Loss'!D10</f>
        <v>  -   </v>
      </c>
      <c r="F144" s="305" t="str">
        <f>'6.Cons Profit &amp; Loss'!E10</f>
        <v>  -   </v>
      </c>
      <c r="G144" s="305" t="str">
        <f>'6.Cons Profit &amp; Loss'!F10</f>
        <v>  -   </v>
      </c>
      <c r="H144" s="305" t="str">
        <f>'6.Cons Profit &amp; Loss'!G10</f>
        <v>  -   </v>
      </c>
      <c r="I144" s="305" t="str">
        <f>'6.Cons Profit &amp; Loss'!H10</f>
        <v>  -   </v>
      </c>
    </row>
    <row r="145" ht="15.75" customHeight="1">
      <c r="B145" s="155" t="str">
        <f t="shared" si="19"/>
        <v>Facility 6 - Processing Unit - Horti Commodity</v>
      </c>
      <c r="C145" s="305" t="str">
        <f>'6.Cons Profit &amp; Loss'!B11</f>
        <v>  -   </v>
      </c>
      <c r="D145" s="305" t="str">
        <f>'6.Cons Profit &amp; Loss'!C11</f>
        <v>  -   </v>
      </c>
      <c r="E145" s="305" t="str">
        <f>'6.Cons Profit &amp; Loss'!D11</f>
        <v>  -   </v>
      </c>
      <c r="F145" s="305" t="str">
        <f>'6.Cons Profit &amp; Loss'!E11</f>
        <v>  -   </v>
      </c>
      <c r="G145" s="305" t="str">
        <f>'6.Cons Profit &amp; Loss'!F11</f>
        <v>  -   </v>
      </c>
      <c r="H145" s="305" t="str">
        <f>'6.Cons Profit &amp; Loss'!G11</f>
        <v>  -   </v>
      </c>
      <c r="I145" s="305" t="str">
        <f>'6.Cons Profit &amp; Loss'!H11</f>
        <v>  -   </v>
      </c>
    </row>
    <row r="146" ht="15.75" customHeight="1">
      <c r="B146" s="155" t="str">
        <f t="shared" si="19"/>
        <v/>
      </c>
      <c r="C146" s="305" t="str">
        <f>'6.Cons Profit &amp; Loss'!B12</f>
        <v/>
      </c>
      <c r="D146" s="305" t="str">
        <f>'6.Cons Profit &amp; Loss'!C12</f>
        <v/>
      </c>
      <c r="E146" s="305" t="str">
        <f>'6.Cons Profit &amp; Loss'!D12</f>
        <v/>
      </c>
      <c r="F146" s="305" t="str">
        <f>'6.Cons Profit &amp; Loss'!E12</f>
        <v/>
      </c>
      <c r="G146" s="305" t="str">
        <f>'6.Cons Profit &amp; Loss'!F12</f>
        <v/>
      </c>
      <c r="H146" s="305" t="str">
        <f>'6.Cons Profit &amp; Loss'!G12</f>
        <v/>
      </c>
      <c r="I146" s="305" t="str">
        <f>'6.Cons Profit &amp; Loss'!H12</f>
        <v/>
      </c>
    </row>
    <row r="147" ht="15.75" customHeight="1">
      <c r="B147" s="155" t="s">
        <v>521</v>
      </c>
      <c r="C147" s="305" t="str">
        <f t="shared" ref="C147:I147" si="20">SUM(C140:C146)</f>
        <v>  75,455,427 </v>
      </c>
      <c r="D147" s="305" t="str">
        <f t="shared" si="20"/>
        <v>  140,348,972 </v>
      </c>
      <c r="E147" s="305" t="str">
        <f t="shared" si="20"/>
        <v>  170,376,121 </v>
      </c>
      <c r="F147" s="305" t="str">
        <f t="shared" si="20"/>
        <v>  203,055,112 </v>
      </c>
      <c r="G147" s="305" t="str">
        <f t="shared" si="20"/>
        <v>  238,576,063 </v>
      </c>
      <c r="H147" s="305" t="str">
        <f t="shared" si="20"/>
        <v>  276,796,874 </v>
      </c>
      <c r="I147" s="305" t="str">
        <f t="shared" si="20"/>
        <v>  318,243,327 </v>
      </c>
    </row>
    <row r="148" ht="15.75" customHeight="1">
      <c r="B148" s="155" t="s">
        <v>522</v>
      </c>
      <c r="C148" s="306"/>
      <c r="D148" s="305"/>
      <c r="E148" s="305"/>
      <c r="F148" s="305"/>
      <c r="G148" s="305"/>
      <c r="H148" s="305"/>
      <c r="I148" s="305"/>
    </row>
    <row r="149" ht="15.75" customHeight="1">
      <c r="B149" s="155" t="s">
        <v>523</v>
      </c>
      <c r="C149" s="307" t="str">
        <f>'6.Cons Profit &amp; Loss'!B34</f>
        <v>  11,600,000.00 </v>
      </c>
      <c r="D149" s="307" t="str">
        <f>'6.Cons Profit &amp; Loss'!C34</f>
        <v>  12,180,000.00 </v>
      </c>
      <c r="E149" s="307" t="str">
        <f>'6.Cons Profit &amp; Loss'!D34</f>
        <v>  12,789,000.00 </v>
      </c>
      <c r="F149" s="307" t="str">
        <f>'6.Cons Profit &amp; Loss'!E34</f>
        <v>  13,428,450.00 </v>
      </c>
      <c r="G149" s="307" t="str">
        <f>'6.Cons Profit &amp; Loss'!F34</f>
        <v>  14,099,872.50 </v>
      </c>
      <c r="H149" s="307" t="str">
        <f>'6.Cons Profit &amp; Loss'!G34</f>
        <v>  14,804,866.13 </v>
      </c>
      <c r="I149" s="307" t="str">
        <f>'6.Cons Profit &amp; Loss'!H34</f>
        <v>  15,545,109.43 </v>
      </c>
    </row>
    <row r="150" ht="15.75" customHeight="1">
      <c r="B150" s="155" t="s">
        <v>385</v>
      </c>
      <c r="C150" s="307" t="str">
        <f>'6.Cons Profit &amp; Loss'!B23*(1+$M$127)</f>
        <v>  62,863,751.93 </v>
      </c>
      <c r="D150" s="307" t="str">
        <f>'6.Cons Profit &amp; Loss'!C23*(1+$M$127)</f>
        <v>  118,147,255.00 </v>
      </c>
      <c r="E150" s="307" t="str">
        <f>'6.Cons Profit &amp; Loss'!D23*(1+$M$127)</f>
        <v>  142,940,250.20 </v>
      </c>
      <c r="F150" s="307" t="str">
        <f>'6.Cons Profit &amp; Loss'!E23*(1+$M$127)</f>
        <v>  169,917,176.78 </v>
      </c>
      <c r="G150" s="307" t="str">
        <f>'6.Cons Profit &amp; Loss'!F23*(1+$M$127)</f>
        <v>  199,234,445.40 </v>
      </c>
      <c r="H150" s="307" t="str">
        <f>'6.Cons Profit &amp; Loss'!G23*(1+$M$127)</f>
        <v>  231,058,647.94 </v>
      </c>
      <c r="I150" s="307" t="str">
        <f>'6.Cons Profit &amp; Loss'!H23*(1+$M$127)</f>
        <v>  265,567,184.61 </v>
      </c>
    </row>
    <row r="151" ht="15.75" customHeight="1">
      <c r="B151" s="155" t="s">
        <v>524</v>
      </c>
      <c r="C151" s="307" t="str">
        <f t="shared" ref="C151:I151" si="21">SUM(C149:C150)</f>
        <v>  74,463,751.93 </v>
      </c>
      <c r="D151" s="307" t="str">
        <f t="shared" si="21"/>
        <v>  130,327,255.00 </v>
      </c>
      <c r="E151" s="307" t="str">
        <f t="shared" si="21"/>
        <v>  155,729,250.20 </v>
      </c>
      <c r="F151" s="307" t="str">
        <f t="shared" si="21"/>
        <v>  183,345,626.78 </v>
      </c>
      <c r="G151" s="307" t="str">
        <f t="shared" si="21"/>
        <v>  213,334,317.90 </v>
      </c>
      <c r="H151" s="307" t="str">
        <f t="shared" si="21"/>
        <v>  245,863,514.06 </v>
      </c>
      <c r="I151" s="307" t="str">
        <f t="shared" si="21"/>
        <v>  281,112,294.04 </v>
      </c>
    </row>
    <row r="152" ht="15.75" customHeight="1">
      <c r="B152" s="158" t="s">
        <v>525</v>
      </c>
      <c r="C152" s="308" t="str">
        <f t="shared" ref="C152:I152" si="22">+C147-C151</f>
        <v>  991,674.94 </v>
      </c>
      <c r="D152" s="308" t="str">
        <f t="shared" si="22"/>
        <v>  10,021,716.87 </v>
      </c>
      <c r="E152" s="308" t="str">
        <f t="shared" si="22"/>
        <v>  14,646,870.65 </v>
      </c>
      <c r="F152" s="308" t="str">
        <f t="shared" si="22"/>
        <v>  19,709,485.52 </v>
      </c>
      <c r="G152" s="308" t="str">
        <f t="shared" si="22"/>
        <v>  25,241,744.69 </v>
      </c>
      <c r="H152" s="308" t="str">
        <f t="shared" si="22"/>
        <v>  30,933,360.05 </v>
      </c>
      <c r="I152" s="308" t="str">
        <f t="shared" si="22"/>
        <v>  37,131,032.58 </v>
      </c>
      <c r="N152" s="309"/>
      <c r="O152" s="267"/>
    </row>
    <row r="153" ht="15.75" customHeight="1">
      <c r="B153" s="269"/>
      <c r="C153" s="304"/>
      <c r="D153" s="304"/>
      <c r="E153" s="304"/>
      <c r="F153" s="304"/>
      <c r="G153" s="304"/>
      <c r="H153" s="304"/>
      <c r="I153" s="304"/>
    </row>
    <row r="154" ht="15.75" customHeight="1">
      <c r="B154" s="176" t="s">
        <v>527</v>
      </c>
      <c r="C154" s="177" t="s">
        <v>177</v>
      </c>
      <c r="D154" s="177" t="s">
        <v>178</v>
      </c>
      <c r="E154" s="177" t="s">
        <v>179</v>
      </c>
      <c r="F154" s="177" t="s">
        <v>180</v>
      </c>
      <c r="G154" s="177" t="s">
        <v>181</v>
      </c>
      <c r="H154" s="177" t="s">
        <v>182</v>
      </c>
      <c r="I154" s="177" t="s">
        <v>183</v>
      </c>
    </row>
    <row r="155" ht="15.75" customHeight="1">
      <c r="B155" s="155" t="str">
        <f t="shared" ref="B155:B161" si="23">B140</f>
        <v>Faclitiy 1 - Trading Activity</v>
      </c>
      <c r="C155" s="301" t="str">
        <f>'6.Cons Profit &amp; Loss'!B6*(1-$M$126)</f>
        <v>  64,121,617 </v>
      </c>
      <c r="D155" s="301" t="str">
        <f>'6.Cons Profit &amp; Loss'!C6*(1-$M$126)</f>
        <v>  123,149,512 </v>
      </c>
      <c r="E155" s="301" t="str">
        <f>'6.Cons Profit &amp; Loss'!D6*(1-$M$126)</f>
        <v>  148,894,427 </v>
      </c>
      <c r="F155" s="301" t="str">
        <f>'6.Cons Profit &amp; Loss'!E6*(1-$M$126)</f>
        <v>  176,905,961 </v>
      </c>
      <c r="G155" s="301" t="str">
        <f>'6.Cons Profit &amp; Loss'!F6*(1-$M$126)</f>
        <v>  207,346,412 </v>
      </c>
      <c r="H155" s="301" t="str">
        <f>'6.Cons Profit &amp; Loss'!G6*(1-$M$126)</f>
        <v>  240,388,642 </v>
      </c>
      <c r="I155" s="301" t="str">
        <f>'6.Cons Profit &amp; Loss'!H6*(1-$M$126)</f>
        <v>  276,216,730 </v>
      </c>
    </row>
    <row r="156" ht="15.75" customHeight="1">
      <c r="B156" s="155" t="str">
        <f t="shared" si="23"/>
        <v>Faclitiy 2 - Processing Unit- Cleaning, Grading</v>
      </c>
      <c r="C156" s="301" t="str">
        <f>'6.Cons Profit &amp; Loss'!B7*(1-$M$126)</f>
        <v>  3,457,039 </v>
      </c>
      <c r="D156" s="301" t="str">
        <f>'6.Cons Profit &amp; Loss'!C7*(1-$M$126)</f>
        <v>  5,603,487 </v>
      </c>
      <c r="E156" s="301" t="str">
        <f>'6.Cons Profit &amp; Loss'!D7*(1-$M$126)</f>
        <v>  7,872,645 </v>
      </c>
      <c r="F156" s="301" t="str">
        <f>'6.Cons Profit &amp; Loss'!E7*(1-$M$126)</f>
        <v>  10,354,710 </v>
      </c>
      <c r="G156" s="301" t="str">
        <f>'6.Cons Profit &amp; Loss'!F7*(1-$M$126)</f>
        <v>  13,065,301 </v>
      </c>
      <c r="H156" s="301" t="str">
        <f>'6.Cons Profit &amp; Loss'!G7*(1-$M$126)</f>
        <v>  16,021,064 </v>
      </c>
      <c r="I156" s="301" t="str">
        <f>'6.Cons Profit &amp; Loss'!H7*(1-$M$126)</f>
        <v>  19,239,739 </v>
      </c>
    </row>
    <row r="157" ht="15.75" customHeight="1">
      <c r="B157" s="155" t="str">
        <f t="shared" si="23"/>
        <v>Faclitiy 3 - Warehouse</v>
      </c>
      <c r="C157" s="301" t="str">
        <f>'6.Cons Profit &amp; Loss'!B8*(1-$M$126)</f>
        <v>  4,104,000 </v>
      </c>
      <c r="D157" s="301" t="str">
        <f>'6.Cons Profit &amp; Loss'!C8*(1-$M$126)</f>
        <v>  4,578,525 </v>
      </c>
      <c r="E157" s="301" t="str">
        <f>'6.Cons Profit &amp; Loss'!D8*(1-$M$126)</f>
        <v>  5,090,243 </v>
      </c>
      <c r="F157" s="301" t="str">
        <f>'6.Cons Profit &amp; Loss'!E8*(1-$M$126)</f>
        <v>  5,641,685 </v>
      </c>
      <c r="G157" s="301" t="str">
        <f>'6.Cons Profit &amp; Loss'!F8*(1-$M$126)</f>
        <v>  6,235,547 </v>
      </c>
      <c r="H157" s="301" t="str">
        <f>'6.Cons Profit &amp; Loss'!G8*(1-$M$126)</f>
        <v>  6,547,324 </v>
      </c>
      <c r="I157" s="301" t="str">
        <f>'6.Cons Profit &amp; Loss'!H8*(1-$M$126)</f>
        <v>  6,874,691 </v>
      </c>
    </row>
    <row r="158" ht="15.75" customHeight="1">
      <c r="B158" s="155" t="str">
        <f t="shared" si="23"/>
        <v>Faclitiy 4 - Custom Hiring </v>
      </c>
      <c r="C158" s="301" t="str">
        <f>'6.Cons Profit &amp; Loss'!B9*(1-$M$126)</f>
        <v>  -   </v>
      </c>
      <c r="D158" s="301" t="str">
        <f>'6.Cons Profit &amp; Loss'!C9*(1-$M$126)</f>
        <v>  -   </v>
      </c>
      <c r="E158" s="301" t="str">
        <f>'6.Cons Profit &amp; Loss'!D9*(1-$M$126)</f>
        <v>  -   </v>
      </c>
      <c r="F158" s="301" t="str">
        <f>'6.Cons Profit &amp; Loss'!E9*(1-$M$126)</f>
        <v>  -   </v>
      </c>
      <c r="G158" s="301" t="str">
        <f>'6.Cons Profit &amp; Loss'!F9*(1-$M$126)</f>
        <v>  -   </v>
      </c>
      <c r="H158" s="301" t="str">
        <f>'6.Cons Profit &amp; Loss'!G9*(1-$M$126)</f>
        <v>  -   </v>
      </c>
      <c r="I158" s="301" t="str">
        <f>'6.Cons Profit &amp; Loss'!H9*(1-$M$126)</f>
        <v>  -   </v>
      </c>
    </row>
    <row r="159" ht="15.75" customHeight="1">
      <c r="B159" s="155" t="str">
        <f t="shared" si="23"/>
        <v>Faclitiy 5 - Agri Input Centre</v>
      </c>
      <c r="C159" s="301" t="str">
        <f>'6.Cons Profit &amp; Loss'!B10*(1-$M$126)</f>
        <v>  -   </v>
      </c>
      <c r="D159" s="301" t="str">
        <f>'6.Cons Profit &amp; Loss'!C10*(1-$M$126)</f>
        <v>  -   </v>
      </c>
      <c r="E159" s="301" t="str">
        <f>'6.Cons Profit &amp; Loss'!D10*(1-$M$126)</f>
        <v>  -   </v>
      </c>
      <c r="F159" s="301" t="str">
        <f>'6.Cons Profit &amp; Loss'!E10*(1-$M$126)</f>
        <v>  -   </v>
      </c>
      <c r="G159" s="301" t="str">
        <f>'6.Cons Profit &amp; Loss'!F10*(1-$M$126)</f>
        <v>  -   </v>
      </c>
      <c r="H159" s="301" t="str">
        <f>'6.Cons Profit &amp; Loss'!G10*(1-$M$126)</f>
        <v>  -   </v>
      </c>
      <c r="I159" s="301" t="str">
        <f>'6.Cons Profit &amp; Loss'!H10*(1-$M$126)</f>
        <v>  -   </v>
      </c>
    </row>
    <row r="160" ht="15.75" customHeight="1">
      <c r="B160" s="155" t="str">
        <f t="shared" si="23"/>
        <v>Facility 6 - Processing Unit - Horti Commodity</v>
      </c>
      <c r="C160" s="301" t="str">
        <f>'6.Cons Profit &amp; Loss'!B11*(1-$M$126)</f>
        <v>  -   </v>
      </c>
      <c r="D160" s="301" t="str">
        <f>'6.Cons Profit &amp; Loss'!C11*(1-$M$126)</f>
        <v>  -   </v>
      </c>
      <c r="E160" s="301" t="str">
        <f>'6.Cons Profit &amp; Loss'!D11*(1-$M$126)</f>
        <v>  -   </v>
      </c>
      <c r="F160" s="301" t="str">
        <f>'6.Cons Profit &amp; Loss'!E11*(1-$M$126)</f>
        <v>  -   </v>
      </c>
      <c r="G160" s="301" t="str">
        <f>'6.Cons Profit &amp; Loss'!F11*(1-$M$126)</f>
        <v>  -   </v>
      </c>
      <c r="H160" s="301" t="str">
        <f>'6.Cons Profit &amp; Loss'!G11*(1-$M$126)</f>
        <v>  -   </v>
      </c>
      <c r="I160" s="301" t="str">
        <f>'6.Cons Profit &amp; Loss'!H11*(1-$M$126)</f>
        <v>  -   </v>
      </c>
    </row>
    <row r="161" ht="15.75" customHeight="1">
      <c r="B161" s="155" t="str">
        <f t="shared" si="23"/>
        <v/>
      </c>
      <c r="C161" s="301" t="str">
        <f>'6.Cons Profit &amp; Loss'!B12*(1-$M$126)</f>
        <v>  -   </v>
      </c>
      <c r="D161" s="301" t="str">
        <f>'6.Cons Profit &amp; Loss'!C12*(1-$M$126)</f>
        <v>  -   </v>
      </c>
      <c r="E161" s="301" t="str">
        <f>'6.Cons Profit &amp; Loss'!D12*(1-$M$126)</f>
        <v>  -   </v>
      </c>
      <c r="F161" s="301" t="str">
        <f>'6.Cons Profit &amp; Loss'!E12*(1-$M$126)</f>
        <v>  -   </v>
      </c>
      <c r="G161" s="301" t="str">
        <f>'6.Cons Profit &amp; Loss'!F12*(1-$M$126)</f>
        <v>  -   </v>
      </c>
      <c r="H161" s="301" t="str">
        <f>'6.Cons Profit &amp; Loss'!G12*(1-$M$126)</f>
        <v>  -   </v>
      </c>
      <c r="I161" s="301" t="str">
        <f>'6.Cons Profit &amp; Loss'!H12*(1-$M$126)</f>
        <v>  -   </v>
      </c>
    </row>
    <row r="162" ht="15.75" customHeight="1">
      <c r="B162" s="155" t="s">
        <v>521</v>
      </c>
      <c r="C162" s="301" t="str">
        <f t="shared" ref="C162:I162" si="24">SUM(C155:C161)</f>
        <v>  71,682,656 </v>
      </c>
      <c r="D162" s="301" t="str">
        <f t="shared" si="24"/>
        <v>  133,331,523 </v>
      </c>
      <c r="E162" s="301" t="str">
        <f t="shared" si="24"/>
        <v>  161,857,315 </v>
      </c>
      <c r="F162" s="301" t="str">
        <f t="shared" si="24"/>
        <v>  192,902,357 </v>
      </c>
      <c r="G162" s="301" t="str">
        <f t="shared" si="24"/>
        <v>  226,647,259 </v>
      </c>
      <c r="H162" s="301" t="str">
        <f t="shared" si="24"/>
        <v>  262,957,030 </v>
      </c>
      <c r="I162" s="301" t="str">
        <f t="shared" si="24"/>
        <v>  302,331,160 </v>
      </c>
    </row>
    <row r="163" ht="15.75" customHeight="1">
      <c r="B163" s="155" t="s">
        <v>522</v>
      </c>
      <c r="C163" s="301"/>
      <c r="D163" s="301"/>
      <c r="E163" s="301"/>
      <c r="F163" s="301"/>
      <c r="G163" s="301"/>
      <c r="H163" s="301"/>
      <c r="I163" s="301"/>
    </row>
    <row r="164" ht="15.75" customHeight="1">
      <c r="B164" s="155" t="s">
        <v>523</v>
      </c>
      <c r="C164" s="301" t="str">
        <f>'6.Cons Profit &amp; Loss'!B34</f>
        <v>  11,600,000 </v>
      </c>
      <c r="D164" s="301" t="str">
        <f>'6.Cons Profit &amp; Loss'!C34</f>
        <v>  12,180,000 </v>
      </c>
      <c r="E164" s="301" t="str">
        <f>'6.Cons Profit &amp; Loss'!D34</f>
        <v>  12,789,000 </v>
      </c>
      <c r="F164" s="301" t="str">
        <f>'6.Cons Profit &amp; Loss'!E34</f>
        <v>  13,428,450 </v>
      </c>
      <c r="G164" s="301" t="str">
        <f>'6.Cons Profit &amp; Loss'!F34</f>
        <v>  14,099,873 </v>
      </c>
      <c r="H164" s="301" t="str">
        <f>'6.Cons Profit &amp; Loss'!G34</f>
        <v>  14,804,866 </v>
      </c>
      <c r="I164" s="301" t="str">
        <f>'6.Cons Profit &amp; Loss'!H34</f>
        <v>  15,545,109 </v>
      </c>
    </row>
    <row r="165" ht="15.75" customHeight="1">
      <c r="B165" s="155" t="s">
        <v>385</v>
      </c>
      <c r="C165" s="301" t="str">
        <f>'6.Cons Profit &amp; Loss'!B23*(1-$M$126)</f>
        <v>  56,876,728 </v>
      </c>
      <c r="D165" s="301" t="str">
        <f>'6.Cons Profit &amp; Loss'!C23*(1-$M$126)</f>
        <v>  106,895,135 </v>
      </c>
      <c r="E165" s="301" t="str">
        <f>'6.Cons Profit &amp; Loss'!D23*(1-$M$126)</f>
        <v>  129,326,893 </v>
      </c>
      <c r="F165" s="301" t="str">
        <f>'6.Cons Profit &amp; Loss'!E23*(1-$M$126)</f>
        <v>  153,734,589 </v>
      </c>
      <c r="G165" s="301" t="str">
        <f>'6.Cons Profit &amp; Loss'!F23*(1-$M$126)</f>
        <v>  180,259,736 </v>
      </c>
      <c r="H165" s="301" t="str">
        <f>'6.Cons Profit &amp; Loss'!G23*(1-$M$126)</f>
        <v>  209,053,062 </v>
      </c>
      <c r="I165" s="301" t="str">
        <f>'6.Cons Profit &amp; Loss'!H23*(1-$M$126)</f>
        <v>  240,275,072 </v>
      </c>
    </row>
    <row r="166" ht="15.75" customHeight="1">
      <c r="B166" s="155" t="s">
        <v>524</v>
      </c>
      <c r="C166" s="301" t="str">
        <f t="shared" ref="C166:I166" si="25">SUM(C164:C165)</f>
        <v>  68,476,728 </v>
      </c>
      <c r="D166" s="301" t="str">
        <f t="shared" si="25"/>
        <v>  119,075,135 </v>
      </c>
      <c r="E166" s="301" t="str">
        <f t="shared" si="25"/>
        <v>  142,115,893 </v>
      </c>
      <c r="F166" s="301" t="str">
        <f t="shared" si="25"/>
        <v>  167,163,039 </v>
      </c>
      <c r="G166" s="301" t="str">
        <f t="shared" si="25"/>
        <v>  194,359,609 </v>
      </c>
      <c r="H166" s="301" t="str">
        <f t="shared" si="25"/>
        <v>  223,857,929 </v>
      </c>
      <c r="I166" s="301" t="str">
        <f t="shared" si="25"/>
        <v>  255,820,181 </v>
      </c>
    </row>
    <row r="167" ht="15.75" customHeight="1">
      <c r="B167" s="158" t="s">
        <v>525</v>
      </c>
      <c r="C167" s="303" t="str">
        <f t="shared" ref="C167:I167" si="26">+C162-C166</f>
        <v>  3,205,928 </v>
      </c>
      <c r="D167" s="303" t="str">
        <f t="shared" si="26"/>
        <v>  14,256,388 </v>
      </c>
      <c r="E167" s="303" t="str">
        <f t="shared" si="26"/>
        <v>  19,741,422 </v>
      </c>
      <c r="F167" s="303" t="str">
        <f t="shared" si="26"/>
        <v>  25,739,318 </v>
      </c>
      <c r="G167" s="303" t="str">
        <f t="shared" si="26"/>
        <v>  32,287,651 </v>
      </c>
      <c r="H167" s="303" t="str">
        <f t="shared" si="26"/>
        <v>  39,099,102 </v>
      </c>
      <c r="I167" s="303" t="str">
        <f t="shared" si="26"/>
        <v>  46,510,979 </v>
      </c>
    </row>
    <row r="168" ht="15.75" customHeight="1">
      <c r="B168" s="121"/>
      <c r="C168" s="304"/>
      <c r="D168" s="304"/>
      <c r="E168" s="304"/>
      <c r="F168" s="304"/>
      <c r="G168" s="304"/>
      <c r="H168" s="304"/>
      <c r="I168" s="304"/>
    </row>
    <row r="169" ht="15.75" customHeight="1">
      <c r="B169" s="176" t="s">
        <v>528</v>
      </c>
      <c r="C169" s="177" t="s">
        <v>177</v>
      </c>
      <c r="D169" s="177" t="s">
        <v>178</v>
      </c>
      <c r="E169" s="177" t="s">
        <v>179</v>
      </c>
      <c r="F169" s="177" t="s">
        <v>180</v>
      </c>
      <c r="G169" s="177" t="s">
        <v>181</v>
      </c>
      <c r="H169" s="177" t="s">
        <v>182</v>
      </c>
      <c r="I169" s="177" t="s">
        <v>183</v>
      </c>
    </row>
    <row r="170" ht="15.75" customHeight="1">
      <c r="B170" s="155" t="str">
        <f t="shared" ref="B170:B176" si="27">B155</f>
        <v>Faclitiy 1 - Trading Activity</v>
      </c>
      <c r="C170" s="305" t="str">
        <f>'6.Cons Profit &amp; Loss'!B6</f>
        <v>  67,496,439 </v>
      </c>
      <c r="D170" s="305" t="str">
        <f>'6.Cons Profit &amp; Loss'!C6</f>
        <v>  129,631,065 </v>
      </c>
      <c r="E170" s="305" t="str">
        <f>'6.Cons Profit &amp; Loss'!D6</f>
        <v>  156,730,976 </v>
      </c>
      <c r="F170" s="305" t="str">
        <f>'6.Cons Profit &amp; Loss'!E6</f>
        <v>  186,216,801 </v>
      </c>
      <c r="G170" s="305" t="str">
        <f>'6.Cons Profit &amp; Loss'!F6</f>
        <v>  218,259,381 </v>
      </c>
      <c r="H170" s="305" t="str">
        <f>'6.Cons Profit &amp; Loss'!G6</f>
        <v>  253,040,676 </v>
      </c>
      <c r="I170" s="305" t="str">
        <f>'6.Cons Profit &amp; Loss'!H6</f>
        <v>  290,754,453 </v>
      </c>
    </row>
    <row r="171" ht="15.75" customHeight="1">
      <c r="B171" s="155" t="str">
        <f t="shared" si="27"/>
        <v>Faclitiy 2 - Processing Unit- Cleaning, Grading</v>
      </c>
      <c r="C171" s="305" t="str">
        <f>'6.Cons Profit &amp; Loss'!B7</f>
        <v>  3,638,988 </v>
      </c>
      <c r="D171" s="305" t="str">
        <f>'6.Cons Profit &amp; Loss'!C7</f>
        <v>  5,898,407 </v>
      </c>
      <c r="E171" s="305" t="str">
        <f>'6.Cons Profit &amp; Loss'!D7</f>
        <v>  8,286,995 </v>
      </c>
      <c r="F171" s="305" t="str">
        <f>'6.Cons Profit &amp; Loss'!E7</f>
        <v>  10,899,695 </v>
      </c>
      <c r="G171" s="305" t="str">
        <f>'6.Cons Profit &amp; Loss'!F7</f>
        <v>  13,752,948 </v>
      </c>
      <c r="H171" s="305" t="str">
        <f>'6.Cons Profit &amp; Loss'!G7</f>
        <v>  16,864,277 </v>
      </c>
      <c r="I171" s="305" t="str">
        <f>'6.Cons Profit &amp; Loss'!H7</f>
        <v>  20,252,357 </v>
      </c>
    </row>
    <row r="172" ht="15.75" customHeight="1">
      <c r="B172" s="155" t="str">
        <f t="shared" si="27"/>
        <v>Faclitiy 3 - Warehouse</v>
      </c>
      <c r="C172" s="305" t="str">
        <f>'6.Cons Profit &amp; Loss'!B8</f>
        <v>  4,320,000 </v>
      </c>
      <c r="D172" s="305" t="str">
        <f>'6.Cons Profit &amp; Loss'!C8</f>
        <v>  4,819,500 </v>
      </c>
      <c r="E172" s="305" t="str">
        <f>'6.Cons Profit &amp; Loss'!D8</f>
        <v>  5,358,150 </v>
      </c>
      <c r="F172" s="305" t="str">
        <f>'6.Cons Profit &amp; Loss'!E8</f>
        <v>  5,938,616 </v>
      </c>
      <c r="G172" s="305" t="str">
        <f>'6.Cons Profit &amp; Loss'!F8</f>
        <v>  6,563,734 </v>
      </c>
      <c r="H172" s="305" t="str">
        <f>'6.Cons Profit &amp; Loss'!G8</f>
        <v>  6,891,920 </v>
      </c>
      <c r="I172" s="305" t="str">
        <f>'6.Cons Profit &amp; Loss'!H8</f>
        <v>  7,236,516 </v>
      </c>
    </row>
    <row r="173" ht="15.75" customHeight="1">
      <c r="B173" s="155" t="str">
        <f t="shared" si="27"/>
        <v>Faclitiy 4 - Custom Hiring </v>
      </c>
      <c r="C173" s="305" t="str">
        <f>'6.Cons Profit &amp; Loss'!B9</f>
        <v>  -   </v>
      </c>
      <c r="D173" s="305" t="str">
        <f>'6.Cons Profit &amp; Loss'!C9</f>
        <v>  -   </v>
      </c>
      <c r="E173" s="305" t="str">
        <f>'6.Cons Profit &amp; Loss'!D9</f>
        <v>  -   </v>
      </c>
      <c r="F173" s="305" t="str">
        <f>'6.Cons Profit &amp; Loss'!E9</f>
        <v>  -   </v>
      </c>
      <c r="G173" s="305" t="str">
        <f>'6.Cons Profit &amp; Loss'!F9</f>
        <v>  -   </v>
      </c>
      <c r="H173" s="305" t="str">
        <f>'6.Cons Profit &amp; Loss'!G9</f>
        <v>  -   </v>
      </c>
      <c r="I173" s="305" t="str">
        <f>'6.Cons Profit &amp; Loss'!H9</f>
        <v>  -   </v>
      </c>
    </row>
    <row r="174" ht="15.75" customHeight="1">
      <c r="B174" s="155" t="str">
        <f t="shared" si="27"/>
        <v>Faclitiy 5 - Agri Input Centre</v>
      </c>
      <c r="C174" s="305" t="str">
        <f>'6.Cons Profit &amp; Loss'!B10</f>
        <v>  -   </v>
      </c>
      <c r="D174" s="305" t="str">
        <f>'6.Cons Profit &amp; Loss'!C10</f>
        <v>  -   </v>
      </c>
      <c r="E174" s="305" t="str">
        <f>'6.Cons Profit &amp; Loss'!D10</f>
        <v>  -   </v>
      </c>
      <c r="F174" s="305" t="str">
        <f>'6.Cons Profit &amp; Loss'!E10</f>
        <v>  -   </v>
      </c>
      <c r="G174" s="305" t="str">
        <f>'6.Cons Profit &amp; Loss'!F10</f>
        <v>  -   </v>
      </c>
      <c r="H174" s="305" t="str">
        <f>'6.Cons Profit &amp; Loss'!G10</f>
        <v>  -   </v>
      </c>
      <c r="I174" s="305" t="str">
        <f>'6.Cons Profit &amp; Loss'!H10</f>
        <v>  -   </v>
      </c>
    </row>
    <row r="175" ht="15.75" customHeight="1">
      <c r="B175" s="155" t="str">
        <f t="shared" si="27"/>
        <v>Facility 6 - Processing Unit - Horti Commodity</v>
      </c>
      <c r="C175" s="305" t="str">
        <f>'6.Cons Profit &amp; Loss'!B11</f>
        <v>  -   </v>
      </c>
      <c r="D175" s="305" t="str">
        <f>'6.Cons Profit &amp; Loss'!C11</f>
        <v>  -   </v>
      </c>
      <c r="E175" s="305" t="str">
        <f>'6.Cons Profit &amp; Loss'!D11</f>
        <v>  -   </v>
      </c>
      <c r="F175" s="305" t="str">
        <f>'6.Cons Profit &amp; Loss'!E11</f>
        <v>  -   </v>
      </c>
      <c r="G175" s="305" t="str">
        <f>'6.Cons Profit &amp; Loss'!F11</f>
        <v>  -   </v>
      </c>
      <c r="H175" s="305" t="str">
        <f>'6.Cons Profit &amp; Loss'!G11</f>
        <v>  -   </v>
      </c>
      <c r="I175" s="305" t="str">
        <f>'6.Cons Profit &amp; Loss'!H11</f>
        <v>  -   </v>
      </c>
    </row>
    <row r="176" ht="15.75" customHeight="1">
      <c r="B176" s="155" t="str">
        <f t="shared" si="27"/>
        <v/>
      </c>
      <c r="C176" s="305" t="str">
        <f>'6.Cons Profit &amp; Loss'!B12</f>
        <v/>
      </c>
      <c r="D176" s="305" t="str">
        <f>'6.Cons Profit &amp; Loss'!C12</f>
        <v/>
      </c>
      <c r="E176" s="305" t="str">
        <f>'6.Cons Profit &amp; Loss'!D12</f>
        <v/>
      </c>
      <c r="F176" s="305" t="str">
        <f>'6.Cons Profit &amp; Loss'!E12</f>
        <v/>
      </c>
      <c r="G176" s="305" t="str">
        <f>'6.Cons Profit &amp; Loss'!F12</f>
        <v/>
      </c>
      <c r="H176" s="305" t="str">
        <f>'6.Cons Profit &amp; Loss'!G12</f>
        <v/>
      </c>
      <c r="I176" s="305" t="str">
        <f>'6.Cons Profit &amp; Loss'!H12</f>
        <v/>
      </c>
    </row>
    <row r="177" ht="15.75" customHeight="1">
      <c r="B177" s="155" t="s">
        <v>521</v>
      </c>
      <c r="C177" s="305" t="str">
        <f t="shared" ref="C177:I177" si="28">SUM(C170:C176)</f>
        <v>  75,455,427 </v>
      </c>
      <c r="D177" s="305" t="str">
        <f t="shared" si="28"/>
        <v>  140,348,972 </v>
      </c>
      <c r="E177" s="305" t="str">
        <f t="shared" si="28"/>
        <v>  170,376,121 </v>
      </c>
      <c r="F177" s="305" t="str">
        <f t="shared" si="28"/>
        <v>  203,055,112 </v>
      </c>
      <c r="G177" s="305" t="str">
        <f t="shared" si="28"/>
        <v>  238,576,063 </v>
      </c>
      <c r="H177" s="305" t="str">
        <f t="shared" si="28"/>
        <v>  276,796,874 </v>
      </c>
      <c r="I177" s="305" t="str">
        <f t="shared" si="28"/>
        <v>  318,243,327 </v>
      </c>
    </row>
    <row r="178" ht="15.75" customHeight="1">
      <c r="B178" s="155" t="s">
        <v>522</v>
      </c>
      <c r="C178" s="305"/>
      <c r="D178" s="305"/>
      <c r="E178" s="305"/>
      <c r="F178" s="305"/>
      <c r="G178" s="305"/>
      <c r="H178" s="305"/>
      <c r="I178" s="305"/>
    </row>
    <row r="179" ht="15.75" customHeight="1">
      <c r="B179" s="155" t="s">
        <v>523</v>
      </c>
      <c r="C179" s="305" t="str">
        <f>'6.Cons Profit &amp; Loss'!B34</f>
        <v>  11,600,000 </v>
      </c>
      <c r="D179" s="305" t="str">
        <f>'6.Cons Profit &amp; Loss'!C34</f>
        <v>  12,180,000 </v>
      </c>
      <c r="E179" s="305" t="str">
        <f>'6.Cons Profit &amp; Loss'!D34</f>
        <v>  12,789,000 </v>
      </c>
      <c r="F179" s="305" t="str">
        <f>'6.Cons Profit &amp; Loss'!E34</f>
        <v>  13,428,450 </v>
      </c>
      <c r="G179" s="305" t="str">
        <f>'6.Cons Profit &amp; Loss'!F34</f>
        <v>  14,099,873 </v>
      </c>
      <c r="H179" s="305" t="str">
        <f>'6.Cons Profit &amp; Loss'!G34</f>
        <v>  14,804,866 </v>
      </c>
      <c r="I179" s="305" t="str">
        <f>'6.Cons Profit &amp; Loss'!H34</f>
        <v>  15,545,109 </v>
      </c>
    </row>
    <row r="180" ht="15.75" customHeight="1">
      <c r="B180" s="155" t="s">
        <v>385</v>
      </c>
      <c r="C180" s="305" t="str">
        <f>'6.Cons Profit &amp; Loss'!B23*(1-$M$127)</f>
        <v>  56,876,728 </v>
      </c>
      <c r="D180" s="305" t="str">
        <f>'6.Cons Profit &amp; Loss'!C23*(1-$M$127)</f>
        <v>  106,895,135 </v>
      </c>
      <c r="E180" s="305" t="str">
        <f>'6.Cons Profit &amp; Loss'!D23*(1-$M$127)</f>
        <v>  129,326,893 </v>
      </c>
      <c r="F180" s="305" t="str">
        <f>'6.Cons Profit &amp; Loss'!E23*(1-$M$127)</f>
        <v>  153,734,589 </v>
      </c>
      <c r="G180" s="305" t="str">
        <f>'6.Cons Profit &amp; Loss'!F23*(1-$M$127)</f>
        <v>  180,259,736 </v>
      </c>
      <c r="H180" s="305" t="str">
        <f>'6.Cons Profit &amp; Loss'!G23*(1-$M$127)</f>
        <v>  209,053,062 </v>
      </c>
      <c r="I180" s="305" t="str">
        <f>'6.Cons Profit &amp; Loss'!H23*(1-$M$127)</f>
        <v>  240,275,072 </v>
      </c>
    </row>
    <row r="181" ht="15.75" customHeight="1">
      <c r="B181" s="155" t="s">
        <v>524</v>
      </c>
      <c r="C181" s="305" t="str">
        <f t="shared" ref="C181:I181" si="29">SUM(C179:C180)</f>
        <v>  68,476,728 </v>
      </c>
      <c r="D181" s="305" t="str">
        <f t="shared" si="29"/>
        <v>  119,075,135 </v>
      </c>
      <c r="E181" s="305" t="str">
        <f t="shared" si="29"/>
        <v>  142,115,893 </v>
      </c>
      <c r="F181" s="305" t="str">
        <f t="shared" si="29"/>
        <v>  167,163,039 </v>
      </c>
      <c r="G181" s="305" t="str">
        <f t="shared" si="29"/>
        <v>  194,359,609 </v>
      </c>
      <c r="H181" s="305" t="str">
        <f t="shared" si="29"/>
        <v>  223,857,929 </v>
      </c>
      <c r="I181" s="305" t="str">
        <f t="shared" si="29"/>
        <v>  255,820,181 </v>
      </c>
    </row>
    <row r="182" ht="15.75" customHeight="1">
      <c r="B182" s="158" t="s">
        <v>525</v>
      </c>
      <c r="C182" s="310" t="str">
        <f t="shared" ref="C182:I182" si="30">+C177-C181</f>
        <v>  6,978,699 </v>
      </c>
      <c r="D182" s="310" t="str">
        <f t="shared" si="30"/>
        <v>  21,273,836 </v>
      </c>
      <c r="E182" s="310" t="str">
        <f t="shared" si="30"/>
        <v>  28,260,228 </v>
      </c>
      <c r="F182" s="310" t="str">
        <f t="shared" si="30"/>
        <v>  35,892,074 </v>
      </c>
      <c r="G182" s="310" t="str">
        <f t="shared" si="30"/>
        <v>  44,216,454 </v>
      </c>
      <c r="H182" s="310" t="str">
        <f t="shared" si="30"/>
        <v>  52,938,946 </v>
      </c>
      <c r="I182" s="310" t="str">
        <f t="shared" si="30"/>
        <v>  62,423,145 </v>
      </c>
    </row>
    <row r="183" ht="15.75" customHeight="1"/>
    <row r="184" ht="40.5" customHeight="1">
      <c r="B184" s="311" t="s">
        <v>529</v>
      </c>
      <c r="J184" s="312"/>
      <c r="K184" s="312"/>
      <c r="L184" s="312"/>
      <c r="M184" s="312"/>
    </row>
  </sheetData>
  <mergeCells count="20">
    <mergeCell ref="B24:J24"/>
    <mergeCell ref="D20:J20"/>
    <mergeCell ref="D22:J22"/>
    <mergeCell ref="B75:J75"/>
    <mergeCell ref="B88:I88"/>
    <mergeCell ref="B76:I76"/>
    <mergeCell ref="C82:I82"/>
    <mergeCell ref="C83:I83"/>
    <mergeCell ref="C85:I85"/>
    <mergeCell ref="B123:I123"/>
    <mergeCell ref="B121:J121"/>
    <mergeCell ref="B103:J103"/>
    <mergeCell ref="B90:J90"/>
    <mergeCell ref="B5:J5"/>
    <mergeCell ref="B26:I26"/>
    <mergeCell ref="B54:I54"/>
    <mergeCell ref="B51:J51"/>
    <mergeCell ref="B184:I184"/>
    <mergeCell ref="K123:R123"/>
    <mergeCell ref="B105:I105"/>
  </mergeCells>
  <hyperlinks>
    <hyperlink r:id="rId1" ref="B24"/>
  </hyperlinks>
  <printOptions/>
  <pageMargins bottom="0.7480314960629921" footer="0.0" header="0.0" left="0.7086614173228347" right="0.7086614173228347" top="0.7480314960629921"/>
  <pageSetup orientation="landscape"/>
  <rowBreaks count="2" manualBreakCount="2">
    <brk id="52" man="1"/>
    <brk id="121" man="1"/>
  </rowBreaks>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9.14"/>
    <col customWidth="1" min="2" max="2" width="23.29"/>
    <col customWidth="1" min="3" max="3" width="11.57"/>
    <col customWidth="1" min="4" max="4" width="18.86"/>
    <col customWidth="1" min="5" max="5" width="15.14"/>
    <col customWidth="1" min="6" max="7" width="15.86"/>
    <col customWidth="1" min="8" max="8" width="21.29"/>
    <col customWidth="1" min="9" max="9" width="11.43"/>
    <col customWidth="1" hidden="1" min="10" max="10" width="9.14"/>
    <col customWidth="1" hidden="1" min="11" max="26" width="8.71"/>
  </cols>
  <sheetData>
    <row r="1">
      <c r="A1" s="26" t="s">
        <v>530</v>
      </c>
    </row>
    <row r="2">
      <c r="B2" s="309"/>
    </row>
    <row r="3">
      <c r="A3" s="313" t="s">
        <v>531</v>
      </c>
      <c r="B3" s="2"/>
    </row>
    <row r="4">
      <c r="A4" s="314" t="s">
        <v>174</v>
      </c>
      <c r="B4" s="315" t="s">
        <v>185</v>
      </c>
      <c r="C4" s="316"/>
      <c r="D4" s="316"/>
      <c r="E4" s="316"/>
      <c r="F4" s="316"/>
      <c r="G4" s="316"/>
      <c r="H4" s="316"/>
    </row>
    <row r="5">
      <c r="A5" s="189" t="s">
        <v>532</v>
      </c>
      <c r="B5" s="317">
        <v>1243.0</v>
      </c>
      <c r="C5" s="121"/>
      <c r="D5" s="318"/>
      <c r="E5" s="318"/>
      <c r="F5" s="318"/>
      <c r="G5" s="318"/>
      <c r="H5" s="318"/>
    </row>
    <row r="6">
      <c r="A6" s="189" t="s">
        <v>533</v>
      </c>
      <c r="B6" s="317">
        <v>1700.0</v>
      </c>
      <c r="C6" s="121"/>
      <c r="D6" s="318"/>
      <c r="E6" s="318"/>
      <c r="F6" s="318"/>
      <c r="G6" s="318"/>
      <c r="H6" s="318"/>
    </row>
    <row r="7">
      <c r="A7" s="319" t="s">
        <v>89</v>
      </c>
      <c r="B7" s="319" t="str">
        <f>B5+B6</f>
        <v>2943</v>
      </c>
      <c r="C7" s="59"/>
      <c r="D7" s="320"/>
      <c r="E7" s="320"/>
      <c r="F7" s="320"/>
      <c r="G7" s="320"/>
      <c r="H7" s="320"/>
    </row>
    <row r="8">
      <c r="A8" s="319" t="s">
        <v>534</v>
      </c>
      <c r="B8" s="321">
        <v>3.0</v>
      </c>
      <c r="C8" s="59"/>
      <c r="D8" s="59"/>
      <c r="E8" s="59"/>
      <c r="F8" s="59"/>
      <c r="G8" s="59"/>
      <c r="H8" s="59"/>
    </row>
    <row r="9">
      <c r="A9" s="319" t="s">
        <v>535</v>
      </c>
      <c r="B9" s="319" t="str">
        <f>B7*B8</f>
        <v>8829</v>
      </c>
      <c r="C9" s="320"/>
      <c r="D9" s="320"/>
      <c r="E9" s="320"/>
      <c r="F9" s="320"/>
      <c r="G9" s="320"/>
      <c r="H9" s="320"/>
    </row>
    <row r="10">
      <c r="J10" t="s">
        <v>536</v>
      </c>
      <c r="O10" t="s">
        <v>347</v>
      </c>
      <c r="U10" t="s">
        <v>16</v>
      </c>
      <c r="Y10" t="s">
        <v>537</v>
      </c>
      <c r="Z10" t="s">
        <v>538</v>
      </c>
    </row>
    <row r="11">
      <c r="A11" s="26" t="s">
        <v>539</v>
      </c>
      <c r="I11" s="59"/>
      <c r="J11" s="59"/>
      <c r="K11" s="59"/>
      <c r="L11" s="59"/>
      <c r="M11" s="59"/>
      <c r="N11" s="59"/>
      <c r="O11" s="59"/>
      <c r="P11" s="59"/>
    </row>
    <row r="12">
      <c r="J12" s="309">
        <v>0.65</v>
      </c>
      <c r="K12" s="322" t="str">
        <f t="shared" ref="K12:N12" si="1">J12+0.05</f>
        <v>70.0%</v>
      </c>
      <c r="L12" s="322" t="str">
        <f t="shared" si="1"/>
        <v>75.0%</v>
      </c>
      <c r="M12" s="322" t="str">
        <f t="shared" si="1"/>
        <v>80.0%</v>
      </c>
      <c r="N12" s="322" t="str">
        <f t="shared" si="1"/>
        <v>85.0%</v>
      </c>
      <c r="O12" s="309">
        <v>0.4</v>
      </c>
      <c r="P12" s="309" t="str">
        <f t="shared" ref="P12:T12" si="2">O12+0.05</f>
        <v>45%</v>
      </c>
      <c r="Q12" s="309" t="str">
        <f t="shared" si="2"/>
        <v>50%</v>
      </c>
      <c r="R12" s="309" t="str">
        <f t="shared" si="2"/>
        <v>55%</v>
      </c>
      <c r="S12" s="309" t="str">
        <f t="shared" si="2"/>
        <v>60%</v>
      </c>
      <c r="T12" s="309" t="str">
        <f t="shared" si="2"/>
        <v>65%</v>
      </c>
      <c r="U12" s="309">
        <v>0.1</v>
      </c>
      <c r="V12" s="267" t="str">
        <f t="shared" ref="V12:X12" si="3">U12+0.05</f>
        <v>15.00%</v>
      </c>
      <c r="W12" s="267" t="str">
        <f t="shared" si="3"/>
        <v>20.00%</v>
      </c>
      <c r="X12" s="267" t="str">
        <f t="shared" si="3"/>
        <v>25.00%</v>
      </c>
    </row>
    <row r="13">
      <c r="A13" s="314" t="s">
        <v>540</v>
      </c>
      <c r="B13" s="314" t="s">
        <v>541</v>
      </c>
      <c r="C13" s="323" t="s">
        <v>542</v>
      </c>
      <c r="D13" s="323" t="s">
        <v>543</v>
      </c>
      <c r="E13" s="323" t="s">
        <v>544</v>
      </c>
      <c r="F13" s="323" t="s">
        <v>545</v>
      </c>
      <c r="G13" s="323" t="s">
        <v>546</v>
      </c>
      <c r="H13" s="323" t="s">
        <v>547</v>
      </c>
      <c r="O13" s="324" t="s">
        <v>177</v>
      </c>
      <c r="P13" s="324" t="s">
        <v>178</v>
      </c>
      <c r="Q13" s="324" t="s">
        <v>179</v>
      </c>
      <c r="R13" s="324" t="s">
        <v>180</v>
      </c>
      <c r="S13" s="324" t="s">
        <v>181</v>
      </c>
      <c r="T13" s="324" t="s">
        <v>177</v>
      </c>
      <c r="U13" s="324" t="s">
        <v>178</v>
      </c>
      <c r="V13" s="324" t="s">
        <v>179</v>
      </c>
      <c r="W13" s="324" t="s">
        <v>180</v>
      </c>
      <c r="X13" s="324" t="s">
        <v>181</v>
      </c>
    </row>
    <row r="14">
      <c r="A14" s="325" t="s">
        <v>548</v>
      </c>
      <c r="B14" s="317" t="s">
        <v>549</v>
      </c>
      <c r="C14" s="326">
        <v>0.85</v>
      </c>
      <c r="D14" s="189" t="str">
        <f t="shared" ref="D14:D22" si="5">$B$9*C14</f>
        <v>7504.65</v>
      </c>
      <c r="E14" s="327">
        <v>10.0</v>
      </c>
      <c r="F14" s="189" t="str">
        <f t="shared" ref="F14:F22" si="6">D14*E14</f>
        <v>75046.5</v>
      </c>
      <c r="G14" s="328">
        <v>0.01</v>
      </c>
      <c r="H14" s="189" t="str">
        <f t="shared" ref="H14:H22" si="7">(F14-F14*G14)</f>
        <v>74296.035</v>
      </c>
      <c r="J14" t="str">
        <f t="shared" ref="J14:N14" si="4">$D$14*J12</f>
        <v>4878.0225</v>
      </c>
      <c r="K14" t="str">
        <f t="shared" si="4"/>
        <v>5253.255</v>
      </c>
      <c r="L14" t="str">
        <f t="shared" si="4"/>
        <v>5628.4875</v>
      </c>
      <c r="M14" t="str">
        <f t="shared" si="4"/>
        <v>6003.72</v>
      </c>
      <c r="N14" t="str">
        <f t="shared" si="4"/>
        <v>6378.9525</v>
      </c>
    </row>
    <row r="15">
      <c r="A15" s="20"/>
      <c r="B15" s="317" t="s">
        <v>550</v>
      </c>
      <c r="C15" s="326">
        <v>0.05</v>
      </c>
      <c r="D15" s="189" t="str">
        <f t="shared" si="5"/>
        <v>441.45</v>
      </c>
      <c r="E15" s="327">
        <v>10.0</v>
      </c>
      <c r="F15" s="189" t="str">
        <f t="shared" si="6"/>
        <v>4414.5</v>
      </c>
      <c r="G15" s="328">
        <v>0.05</v>
      </c>
      <c r="H15" s="189" t="str">
        <f t="shared" si="7"/>
        <v>4193.775</v>
      </c>
    </row>
    <row r="16">
      <c r="A16" s="20"/>
      <c r="B16" s="317" t="s">
        <v>551</v>
      </c>
      <c r="C16" s="326">
        <v>0.1</v>
      </c>
      <c r="D16" s="189" t="str">
        <f t="shared" si="5"/>
        <v>882.9</v>
      </c>
      <c r="E16" s="327">
        <v>10.0</v>
      </c>
      <c r="F16" s="189" t="str">
        <f t="shared" si="6"/>
        <v>8829</v>
      </c>
      <c r="G16" s="328">
        <v>0.0</v>
      </c>
      <c r="H16" s="189" t="str">
        <f t="shared" si="7"/>
        <v>8829</v>
      </c>
    </row>
    <row r="17">
      <c r="A17" s="20"/>
      <c r="B17" s="317" t="s">
        <v>552</v>
      </c>
      <c r="C17" s="326">
        <v>0.05</v>
      </c>
      <c r="D17" s="189" t="str">
        <f t="shared" si="5"/>
        <v>441.45</v>
      </c>
      <c r="E17" s="327">
        <v>7.0</v>
      </c>
      <c r="F17" s="189" t="str">
        <f t="shared" si="6"/>
        <v>3090.15</v>
      </c>
      <c r="G17" s="328">
        <v>0.01</v>
      </c>
      <c r="H17" s="189" t="str">
        <f t="shared" si="7"/>
        <v>3059.2485</v>
      </c>
    </row>
    <row r="18">
      <c r="A18" s="20"/>
      <c r="B18" s="317" t="s">
        <v>553</v>
      </c>
      <c r="C18" s="326">
        <v>0.0</v>
      </c>
      <c r="D18" s="189" t="str">
        <f t="shared" si="5"/>
        <v>0</v>
      </c>
      <c r="E18" s="327">
        <v>0.0</v>
      </c>
      <c r="F18" s="189" t="str">
        <f t="shared" si="6"/>
        <v>0</v>
      </c>
      <c r="G18" s="328">
        <v>0.0</v>
      </c>
      <c r="H18" s="189" t="str">
        <f t="shared" si="7"/>
        <v>0</v>
      </c>
    </row>
    <row r="19">
      <c r="A19" s="20"/>
      <c r="B19" s="317" t="s">
        <v>554</v>
      </c>
      <c r="C19" s="326">
        <v>0.0</v>
      </c>
      <c r="D19" s="189" t="str">
        <f t="shared" si="5"/>
        <v>0</v>
      </c>
      <c r="E19" s="327">
        <v>8.0</v>
      </c>
      <c r="F19" s="189" t="str">
        <f t="shared" si="6"/>
        <v>0</v>
      </c>
      <c r="G19" s="328">
        <v>0.01</v>
      </c>
      <c r="H19" s="189" t="str">
        <f t="shared" si="7"/>
        <v>0</v>
      </c>
    </row>
    <row r="20">
      <c r="A20" s="20"/>
      <c r="B20" s="317" t="s">
        <v>555</v>
      </c>
      <c r="C20" s="326">
        <v>0.05</v>
      </c>
      <c r="D20" s="189" t="str">
        <f t="shared" si="5"/>
        <v>441.45</v>
      </c>
      <c r="E20" s="327">
        <v>0.0</v>
      </c>
      <c r="F20" s="189" t="str">
        <f t="shared" si="6"/>
        <v>0</v>
      </c>
      <c r="G20" s="328">
        <v>0.0</v>
      </c>
      <c r="H20" s="189" t="str">
        <f t="shared" si="7"/>
        <v>0</v>
      </c>
    </row>
    <row r="21" ht="15.75" customHeight="1">
      <c r="A21" s="20"/>
      <c r="B21" s="317" t="s">
        <v>556</v>
      </c>
      <c r="C21" s="326">
        <v>0.0</v>
      </c>
      <c r="D21" s="189" t="str">
        <f t="shared" si="5"/>
        <v>0</v>
      </c>
      <c r="E21" s="327">
        <v>10.0</v>
      </c>
      <c r="F21" s="189" t="str">
        <f t="shared" si="6"/>
        <v>0</v>
      </c>
      <c r="G21" s="328">
        <v>0.03</v>
      </c>
      <c r="H21" s="189" t="str">
        <f t="shared" si="7"/>
        <v>0</v>
      </c>
    </row>
    <row r="22" ht="15.75" customHeight="1">
      <c r="A22" s="21"/>
      <c r="B22" s="317"/>
      <c r="C22" s="326"/>
      <c r="D22" s="189" t="str">
        <f t="shared" si="5"/>
        <v>0</v>
      </c>
      <c r="E22" s="327">
        <v>0.0</v>
      </c>
      <c r="F22" s="189" t="str">
        <f t="shared" si="6"/>
        <v>0</v>
      </c>
      <c r="G22" s="328">
        <v>0.0</v>
      </c>
      <c r="H22" s="189" t="str">
        <f t="shared" si="7"/>
        <v>0</v>
      </c>
    </row>
    <row r="23" ht="15.75" customHeight="1">
      <c r="A23" s="329" t="s">
        <v>557</v>
      </c>
      <c r="B23" s="326">
        <v>0.6</v>
      </c>
      <c r="C23" s="189" t="str">
        <f>B9*B23</f>
        <v>5297.4</v>
      </c>
      <c r="D23" s="189"/>
      <c r="E23" s="327"/>
      <c r="F23" s="189"/>
      <c r="G23" s="328"/>
      <c r="H23" s="189"/>
    </row>
    <row r="24" ht="15.75" customHeight="1">
      <c r="A24" s="325" t="s">
        <v>558</v>
      </c>
      <c r="B24" s="317" t="s">
        <v>559</v>
      </c>
      <c r="C24" s="326">
        <v>0.15</v>
      </c>
      <c r="D24" s="189" t="str">
        <f t="shared" ref="D24:D31" si="8">C$23*C24</f>
        <v>794.61</v>
      </c>
      <c r="E24" s="327">
        <v>15.0</v>
      </c>
      <c r="F24" s="189" t="str">
        <f t="shared" ref="F24:F31" si="9">D24*E24</f>
        <v>11919.15</v>
      </c>
      <c r="G24" s="328">
        <v>0.05</v>
      </c>
      <c r="H24" s="189" t="str">
        <f t="shared" ref="H24:H31" si="10">(F24-F24*G24)</f>
        <v>11323.1925</v>
      </c>
    </row>
    <row r="25" ht="15.75" customHeight="1">
      <c r="A25" s="20"/>
      <c r="B25" s="317" t="s">
        <v>553</v>
      </c>
      <c r="C25" s="326">
        <v>0.7</v>
      </c>
      <c r="D25" s="189" t="str">
        <f t="shared" si="8"/>
        <v>3708.18</v>
      </c>
      <c r="E25" s="327">
        <v>10.0</v>
      </c>
      <c r="F25" s="189" t="str">
        <f t="shared" si="9"/>
        <v>37081.8</v>
      </c>
      <c r="G25" s="328">
        <v>0.05</v>
      </c>
      <c r="H25" s="189" t="str">
        <f t="shared" si="10"/>
        <v>35227.71</v>
      </c>
    </row>
    <row r="26" ht="15.75" customHeight="1">
      <c r="A26" s="20"/>
      <c r="B26" s="317" t="s">
        <v>556</v>
      </c>
      <c r="C26" s="326">
        <v>0.1</v>
      </c>
      <c r="D26" s="189" t="str">
        <f t="shared" si="8"/>
        <v>529.74</v>
      </c>
      <c r="E26" s="327">
        <v>8.0</v>
      </c>
      <c r="F26" s="189" t="str">
        <f t="shared" si="9"/>
        <v>4237.92</v>
      </c>
      <c r="G26" s="328">
        <v>0.03</v>
      </c>
      <c r="H26" s="189" t="str">
        <f t="shared" si="10"/>
        <v>4110.7824</v>
      </c>
    </row>
    <row r="27" ht="15.75" customHeight="1">
      <c r="A27" s="20"/>
      <c r="B27" s="317" t="s">
        <v>560</v>
      </c>
      <c r="C27" s="326">
        <v>0.0</v>
      </c>
      <c r="D27" s="189" t="str">
        <f t="shared" si="8"/>
        <v>0</v>
      </c>
      <c r="E27" s="327">
        <v>0.0</v>
      </c>
      <c r="F27" s="189" t="str">
        <f t="shared" si="9"/>
        <v>0</v>
      </c>
      <c r="G27" s="328">
        <v>0.0</v>
      </c>
      <c r="H27" s="189" t="str">
        <f t="shared" si="10"/>
        <v>0</v>
      </c>
    </row>
    <row r="28" ht="15.75" customHeight="1">
      <c r="A28" s="20"/>
      <c r="B28" s="317" t="s">
        <v>561</v>
      </c>
      <c r="C28" s="326">
        <v>0.0</v>
      </c>
      <c r="D28" s="189" t="str">
        <f t="shared" si="8"/>
        <v>0</v>
      </c>
      <c r="E28" s="327"/>
      <c r="F28" s="189" t="str">
        <f t="shared" si="9"/>
        <v>0</v>
      </c>
      <c r="G28" s="328">
        <v>0.0</v>
      </c>
      <c r="H28" s="189" t="str">
        <f t="shared" si="10"/>
        <v>0</v>
      </c>
    </row>
    <row r="29" ht="15.75" customHeight="1">
      <c r="A29" s="20"/>
      <c r="B29" s="317" t="s">
        <v>562</v>
      </c>
      <c r="C29" s="326">
        <v>0.05</v>
      </c>
      <c r="D29" s="189" t="str">
        <f t="shared" si="8"/>
        <v>264.87</v>
      </c>
      <c r="E29" s="327">
        <v>5.0</v>
      </c>
      <c r="F29" s="189" t="str">
        <f t="shared" si="9"/>
        <v>1324.35</v>
      </c>
      <c r="G29" s="328">
        <v>0.01</v>
      </c>
      <c r="H29" s="189" t="str">
        <f t="shared" si="10"/>
        <v>1311.1065</v>
      </c>
    </row>
    <row r="30" ht="15.75" customHeight="1">
      <c r="A30" s="20"/>
      <c r="B30" s="317"/>
      <c r="C30" s="326">
        <v>0.0</v>
      </c>
      <c r="D30" s="189" t="str">
        <f t="shared" si="8"/>
        <v>0</v>
      </c>
      <c r="E30" s="327"/>
      <c r="F30" s="189" t="str">
        <f t="shared" si="9"/>
        <v>0</v>
      </c>
      <c r="G30" s="328">
        <v>0.0</v>
      </c>
      <c r="H30" s="189" t="str">
        <f t="shared" si="10"/>
        <v>0</v>
      </c>
    </row>
    <row r="31" ht="15.75" customHeight="1">
      <c r="A31" s="21"/>
      <c r="B31" s="317"/>
      <c r="C31" s="326">
        <v>0.0</v>
      </c>
      <c r="D31" s="189" t="str">
        <f t="shared" si="8"/>
        <v>0</v>
      </c>
      <c r="E31" s="327"/>
      <c r="F31" s="189" t="str">
        <f t="shared" si="9"/>
        <v>0</v>
      </c>
      <c r="G31" s="328">
        <v>0.0</v>
      </c>
      <c r="H31" s="189" t="str">
        <f t="shared" si="10"/>
        <v>0</v>
      </c>
    </row>
    <row r="32" ht="15.75" customHeight="1">
      <c r="A32" s="329" t="s">
        <v>563</v>
      </c>
      <c r="B32" s="326">
        <v>0.1</v>
      </c>
      <c r="C32" s="189" t="str">
        <f>B9*B32</f>
        <v>882.9</v>
      </c>
      <c r="D32" s="189"/>
      <c r="E32" s="327"/>
      <c r="F32" s="189"/>
      <c r="G32" s="328"/>
      <c r="H32" s="189"/>
    </row>
    <row r="33" ht="15.75" customHeight="1">
      <c r="A33" s="330" t="s">
        <v>564</v>
      </c>
      <c r="B33" s="317" t="s">
        <v>549</v>
      </c>
      <c r="C33" s="326">
        <v>0.05</v>
      </c>
      <c r="D33" s="189" t="str">
        <f t="shared" ref="D33:D36" si="11">C$32*C33</f>
        <v>44.145</v>
      </c>
      <c r="E33" s="327">
        <v>7.0</v>
      </c>
      <c r="F33" s="189" t="str">
        <f t="shared" ref="F33:F36" si="12">D33*E33</f>
        <v>309.015</v>
      </c>
      <c r="G33" s="328">
        <v>0.01</v>
      </c>
      <c r="H33" s="189" t="str">
        <f t="shared" ref="H33:H36" si="13">(F33-F33*G33)</f>
        <v>305.92485</v>
      </c>
    </row>
    <row r="34" ht="15.75" customHeight="1">
      <c r="A34" s="18"/>
      <c r="B34" s="317"/>
      <c r="C34" s="326">
        <v>0.0</v>
      </c>
      <c r="D34" s="189" t="str">
        <f t="shared" si="11"/>
        <v>0</v>
      </c>
      <c r="E34" s="327"/>
      <c r="F34" s="189" t="str">
        <f t="shared" si="12"/>
        <v>0</v>
      </c>
      <c r="G34" s="328">
        <v>0.01</v>
      </c>
      <c r="H34" s="189" t="str">
        <f t="shared" si="13"/>
        <v>0</v>
      </c>
    </row>
    <row r="35" ht="15.75" customHeight="1">
      <c r="A35" s="18"/>
      <c r="B35" s="317"/>
      <c r="C35" s="326">
        <v>0.0</v>
      </c>
      <c r="D35" s="189" t="str">
        <f t="shared" si="11"/>
        <v>0</v>
      </c>
      <c r="E35" s="327"/>
      <c r="F35" s="189" t="str">
        <f t="shared" si="12"/>
        <v>0</v>
      </c>
      <c r="G35" s="328">
        <v>0.0</v>
      </c>
      <c r="H35" s="189" t="str">
        <f t="shared" si="13"/>
        <v>0</v>
      </c>
    </row>
    <row r="36" ht="15.75" customHeight="1">
      <c r="A36" s="331"/>
      <c r="B36" s="317"/>
      <c r="C36" s="326">
        <v>0.0</v>
      </c>
      <c r="D36" s="189" t="str">
        <f t="shared" si="11"/>
        <v>0</v>
      </c>
      <c r="E36" s="327"/>
      <c r="F36" s="189" t="str">
        <f t="shared" si="12"/>
        <v>0</v>
      </c>
      <c r="G36" s="328">
        <v>0.0</v>
      </c>
      <c r="H36" s="189" t="str">
        <f t="shared" si="13"/>
        <v>0</v>
      </c>
    </row>
    <row r="37" ht="15.75" customHeight="1">
      <c r="A37" s="70" t="s">
        <v>565</v>
      </c>
    </row>
    <row r="38" ht="15.75" customHeight="1"/>
    <row r="39" ht="15.75" customHeight="1">
      <c r="A39" s="332" t="s">
        <v>566</v>
      </c>
      <c r="B39" s="5"/>
      <c r="C39" s="5"/>
      <c r="D39" s="5"/>
      <c r="E39" s="5"/>
      <c r="F39" s="5"/>
      <c r="G39" s="5"/>
      <c r="H39" s="6"/>
    </row>
    <row r="40" ht="15.75" customHeight="1">
      <c r="A40" s="333" t="s">
        <v>174</v>
      </c>
      <c r="B40" s="334">
        <v>0.3</v>
      </c>
      <c r="C40" s="334" t="str">
        <f t="shared" ref="C40:H40" si="14">B40+0.05</f>
        <v>35%</v>
      </c>
      <c r="D40" s="334" t="str">
        <f t="shared" si="14"/>
        <v>40%</v>
      </c>
      <c r="E40" s="334" t="str">
        <f t="shared" si="14"/>
        <v>45%</v>
      </c>
      <c r="F40" s="334" t="str">
        <f t="shared" si="14"/>
        <v>50%</v>
      </c>
      <c r="G40" s="334" t="str">
        <f t="shared" si="14"/>
        <v>55%</v>
      </c>
      <c r="H40" s="334" t="str">
        <f t="shared" si="14"/>
        <v>60%</v>
      </c>
    </row>
    <row r="41" ht="15.75" customHeight="1">
      <c r="A41" s="21"/>
      <c r="B41" s="315" t="s">
        <v>177</v>
      </c>
      <c r="C41" s="315" t="s">
        <v>178</v>
      </c>
      <c r="D41" s="315" t="s">
        <v>179</v>
      </c>
      <c r="E41" s="315" t="s">
        <v>180</v>
      </c>
      <c r="F41" s="315" t="s">
        <v>181</v>
      </c>
      <c r="G41" s="315" t="s">
        <v>182</v>
      </c>
      <c r="H41" s="315" t="s">
        <v>183</v>
      </c>
    </row>
    <row r="42" ht="15.75" customHeight="1">
      <c r="A42" s="189" t="str">
        <f t="shared" ref="A42:A50" si="16">B14</f>
        <v>Soybean</v>
      </c>
      <c r="B42" s="189" t="str">
        <f t="shared" ref="B42:B50" si="17">H14*$B$40</f>
        <v>22288.8105</v>
      </c>
      <c r="C42" s="189" t="str">
        <f t="shared" ref="C42:H42" si="15">(B42/B$40)*C$40</f>
        <v>26003.61225</v>
      </c>
      <c r="D42" s="189" t="str">
        <f t="shared" si="15"/>
        <v>29718.414</v>
      </c>
      <c r="E42" s="189" t="str">
        <f t="shared" si="15"/>
        <v>33433.21575</v>
      </c>
      <c r="F42" s="189" t="str">
        <f t="shared" si="15"/>
        <v>37148.0175</v>
      </c>
      <c r="G42" s="189" t="str">
        <f t="shared" si="15"/>
        <v>40862.81925</v>
      </c>
      <c r="H42" s="189" t="str">
        <f t="shared" si="15"/>
        <v>44577.621</v>
      </c>
    </row>
    <row r="43" ht="15.75" customHeight="1">
      <c r="A43" s="189" t="str">
        <f t="shared" si="16"/>
        <v>Redgram</v>
      </c>
      <c r="B43" s="189" t="str">
        <f t="shared" si="17"/>
        <v>1258.1325</v>
      </c>
      <c r="C43" s="189" t="str">
        <f t="shared" ref="C43:H43" si="18">(B43/B$40)*C$40</f>
        <v>1467.82125</v>
      </c>
      <c r="D43" s="189" t="str">
        <f t="shared" si="18"/>
        <v>1677.51</v>
      </c>
      <c r="E43" s="189" t="str">
        <f t="shared" si="18"/>
        <v>1887.19875</v>
      </c>
      <c r="F43" s="189" t="str">
        <f t="shared" si="18"/>
        <v>2096.8875</v>
      </c>
      <c r="G43" s="189" t="str">
        <f t="shared" si="18"/>
        <v>2306.57625</v>
      </c>
      <c r="H43" s="189" t="str">
        <f t="shared" si="18"/>
        <v>2516.265</v>
      </c>
    </row>
    <row r="44" ht="15.75" customHeight="1">
      <c r="A44" s="189" t="str">
        <f t="shared" si="16"/>
        <v>Turmeric</v>
      </c>
      <c r="B44" s="189" t="str">
        <f t="shared" si="17"/>
        <v>2648.7</v>
      </c>
      <c r="C44" s="189" t="str">
        <f t="shared" ref="C44:H44" si="19">(B44/B$40)*C$40</f>
        <v>3090.15</v>
      </c>
      <c r="D44" s="189" t="str">
        <f t="shared" si="19"/>
        <v>3531.6</v>
      </c>
      <c r="E44" s="189" t="str">
        <f t="shared" si="19"/>
        <v>3973.05</v>
      </c>
      <c r="F44" s="189" t="str">
        <f t="shared" si="19"/>
        <v>4414.5</v>
      </c>
      <c r="G44" s="189" t="str">
        <f t="shared" si="19"/>
        <v>4855.95</v>
      </c>
      <c r="H44" s="189" t="str">
        <f t="shared" si="19"/>
        <v>5297.4</v>
      </c>
    </row>
    <row r="45" ht="15.75" customHeight="1">
      <c r="A45" s="189" t="str">
        <f t="shared" si="16"/>
        <v>Bengalgram</v>
      </c>
      <c r="B45" s="189" t="str">
        <f t="shared" si="17"/>
        <v>917.77455</v>
      </c>
      <c r="C45" s="189" t="str">
        <f t="shared" ref="C45:H45" si="20">(B45/B$40)*C$40</f>
        <v>1070.736975</v>
      </c>
      <c r="D45" s="189" t="str">
        <f t="shared" si="20"/>
        <v>1223.6994</v>
      </c>
      <c r="E45" s="189" t="str">
        <f t="shared" si="20"/>
        <v>1376.661825</v>
      </c>
      <c r="F45" s="189" t="str">
        <f t="shared" si="20"/>
        <v>1529.62425</v>
      </c>
      <c r="G45" s="189" t="str">
        <f t="shared" si="20"/>
        <v>1682.586675</v>
      </c>
      <c r="H45" s="189" t="str">
        <f t="shared" si="20"/>
        <v>1835.5491</v>
      </c>
    </row>
    <row r="46" ht="15.75" customHeight="1">
      <c r="A46" s="189" t="str">
        <f t="shared" si="16"/>
        <v>Channa</v>
      </c>
      <c r="B46" s="189" t="str">
        <f t="shared" si="17"/>
        <v>0</v>
      </c>
      <c r="C46" s="189" t="str">
        <f t="shared" ref="C46:H46" si="21">(B46/B$40)*C$40</f>
        <v>0</v>
      </c>
      <c r="D46" s="189" t="str">
        <f t="shared" si="21"/>
        <v>0</v>
      </c>
      <c r="E46" s="189" t="str">
        <f t="shared" si="21"/>
        <v>0</v>
      </c>
      <c r="F46" s="189" t="str">
        <f t="shared" si="21"/>
        <v>0</v>
      </c>
      <c r="G46" s="189" t="str">
        <f t="shared" si="21"/>
        <v>0</v>
      </c>
      <c r="H46" s="189" t="str">
        <f t="shared" si="21"/>
        <v>0</v>
      </c>
    </row>
    <row r="47" ht="15.75" customHeight="1">
      <c r="A47" s="189" t="str">
        <f t="shared" si="16"/>
        <v>Udid</v>
      </c>
      <c r="B47" s="189" t="str">
        <f t="shared" si="17"/>
        <v>0</v>
      </c>
      <c r="C47" s="189" t="str">
        <f t="shared" ref="C47:H47" si="22">(B47/B$40)*C$40</f>
        <v>0</v>
      </c>
      <c r="D47" s="189" t="str">
        <f t="shared" si="22"/>
        <v>0</v>
      </c>
      <c r="E47" s="189" t="str">
        <f t="shared" si="22"/>
        <v>0</v>
      </c>
      <c r="F47" s="189" t="str">
        <f t="shared" si="22"/>
        <v>0</v>
      </c>
      <c r="G47" s="189" t="str">
        <f t="shared" si="22"/>
        <v>0</v>
      </c>
      <c r="H47" s="189" t="str">
        <f t="shared" si="22"/>
        <v>0</v>
      </c>
    </row>
    <row r="48" ht="15.75" customHeight="1">
      <c r="A48" s="189" t="str">
        <f t="shared" si="16"/>
        <v>Bajra</v>
      </c>
      <c r="B48" s="189" t="str">
        <f t="shared" si="17"/>
        <v>0</v>
      </c>
      <c r="C48" s="189" t="str">
        <f t="shared" ref="C48:H48" si="23">(B48/B$40)*C$40</f>
        <v>0</v>
      </c>
      <c r="D48" s="189" t="str">
        <f t="shared" si="23"/>
        <v>0</v>
      </c>
      <c r="E48" s="189" t="str">
        <f t="shared" si="23"/>
        <v>0</v>
      </c>
      <c r="F48" s="189" t="str">
        <f t="shared" si="23"/>
        <v>0</v>
      </c>
      <c r="G48" s="189" t="str">
        <f t="shared" si="23"/>
        <v>0</v>
      </c>
      <c r="H48" s="189" t="str">
        <f t="shared" si="23"/>
        <v>0</v>
      </c>
    </row>
    <row r="49" ht="15.75" customHeight="1">
      <c r="A49" s="189" t="str">
        <f t="shared" si="16"/>
        <v>Jawar</v>
      </c>
      <c r="B49" s="189" t="str">
        <f t="shared" si="17"/>
        <v>0</v>
      </c>
      <c r="C49" s="189" t="str">
        <f t="shared" ref="C49:H49" si="24">(B49/B$40)*C$40</f>
        <v>0</v>
      </c>
      <c r="D49" s="189" t="str">
        <f t="shared" si="24"/>
        <v>0</v>
      </c>
      <c r="E49" s="189" t="str">
        <f t="shared" si="24"/>
        <v>0</v>
      </c>
      <c r="F49" s="189" t="str">
        <f t="shared" si="24"/>
        <v>0</v>
      </c>
      <c r="G49" s="189" t="str">
        <f t="shared" si="24"/>
        <v>0</v>
      </c>
      <c r="H49" s="189" t="str">
        <f t="shared" si="24"/>
        <v>0</v>
      </c>
    </row>
    <row r="50" ht="15.75" customHeight="1">
      <c r="A50" s="189" t="str">
        <f t="shared" si="16"/>
        <v/>
      </c>
      <c r="B50" s="189" t="str">
        <f t="shared" si="17"/>
        <v>0</v>
      </c>
      <c r="C50" s="189" t="str">
        <f t="shared" ref="C50:H50" si="25">(B50/B$40)*C$40</f>
        <v>0</v>
      </c>
      <c r="D50" s="189" t="str">
        <f t="shared" si="25"/>
        <v>0</v>
      </c>
      <c r="E50" s="189" t="str">
        <f t="shared" si="25"/>
        <v>0</v>
      </c>
      <c r="F50" s="189" t="str">
        <f t="shared" si="25"/>
        <v>0</v>
      </c>
      <c r="G50" s="189" t="str">
        <f t="shared" si="25"/>
        <v>0</v>
      </c>
      <c r="H50" s="189" t="str">
        <f t="shared" si="25"/>
        <v>0</v>
      </c>
    </row>
    <row r="51" ht="15.75" customHeight="1">
      <c r="A51" s="189" t="str">
        <f t="shared" ref="A51:A58" si="27">B24</f>
        <v>Wheat</v>
      </c>
      <c r="B51" s="189" t="str">
        <f t="shared" ref="B51:B58" si="28">H24*$B$40</f>
        <v>3396.95775</v>
      </c>
      <c r="C51" s="189" t="str">
        <f t="shared" ref="C51:H51" si="26">(B51/B$40)*C$40</f>
        <v>3963.117375</v>
      </c>
      <c r="D51" s="189" t="str">
        <f t="shared" si="26"/>
        <v>4529.277</v>
      </c>
      <c r="E51" s="189" t="str">
        <f t="shared" si="26"/>
        <v>5095.436625</v>
      </c>
      <c r="F51" s="189" t="str">
        <f t="shared" si="26"/>
        <v>5661.59625</v>
      </c>
      <c r="G51" s="189" t="str">
        <f t="shared" si="26"/>
        <v>6227.755875</v>
      </c>
      <c r="H51" s="189" t="str">
        <f t="shared" si="26"/>
        <v>6793.9155</v>
      </c>
    </row>
    <row r="52" ht="15.75" customHeight="1">
      <c r="A52" s="189" t="str">
        <f t="shared" si="27"/>
        <v>Channa</v>
      </c>
      <c r="B52" s="189" t="str">
        <f t="shared" si="28"/>
        <v>10568.313</v>
      </c>
      <c r="C52" s="189" t="str">
        <f t="shared" ref="C52:H52" si="29">(B52/B$40)*C$40</f>
        <v>12329.6985</v>
      </c>
      <c r="D52" s="189" t="str">
        <f t="shared" si="29"/>
        <v>14091.084</v>
      </c>
      <c r="E52" s="189" t="str">
        <f t="shared" si="29"/>
        <v>15852.4695</v>
      </c>
      <c r="F52" s="189" t="str">
        <f t="shared" si="29"/>
        <v>17613.855</v>
      </c>
      <c r="G52" s="189" t="str">
        <f t="shared" si="29"/>
        <v>19375.2405</v>
      </c>
      <c r="H52" s="189" t="str">
        <f t="shared" si="29"/>
        <v>21136.626</v>
      </c>
    </row>
    <row r="53" ht="15.75" customHeight="1">
      <c r="A53" s="189" t="str">
        <f t="shared" si="27"/>
        <v>Jawar</v>
      </c>
      <c r="B53" s="189" t="str">
        <f t="shared" si="28"/>
        <v>1233.23472</v>
      </c>
      <c r="C53" s="189" t="str">
        <f t="shared" ref="C53:H53" si="30">(B53/B$40)*C$40</f>
        <v>1438.77384</v>
      </c>
      <c r="D53" s="189" t="str">
        <f t="shared" si="30"/>
        <v>1644.31296</v>
      </c>
      <c r="E53" s="189" t="str">
        <f t="shared" si="30"/>
        <v>1849.85208</v>
      </c>
      <c r="F53" s="189" t="str">
        <f t="shared" si="30"/>
        <v>2055.3912</v>
      </c>
      <c r="G53" s="189" t="str">
        <f t="shared" si="30"/>
        <v>2260.93032</v>
      </c>
      <c r="H53" s="189" t="str">
        <f t="shared" si="30"/>
        <v>2466.46944</v>
      </c>
    </row>
    <row r="54" ht="15.75" customHeight="1">
      <c r="A54" s="189" t="str">
        <f t="shared" si="27"/>
        <v>Maize</v>
      </c>
      <c r="B54" s="189" t="str">
        <f t="shared" si="28"/>
        <v>0</v>
      </c>
      <c r="C54" s="189" t="str">
        <f t="shared" ref="C54:H54" si="31">(B54/B$40)*C$40</f>
        <v>0</v>
      </c>
      <c r="D54" s="189" t="str">
        <f t="shared" si="31"/>
        <v>0</v>
      </c>
      <c r="E54" s="189" t="str">
        <f t="shared" si="31"/>
        <v>0</v>
      </c>
      <c r="F54" s="189" t="str">
        <f t="shared" si="31"/>
        <v>0</v>
      </c>
      <c r="G54" s="189" t="str">
        <f t="shared" si="31"/>
        <v>0</v>
      </c>
      <c r="H54" s="189" t="str">
        <f t="shared" si="31"/>
        <v>0</v>
      </c>
    </row>
    <row r="55" ht="15.75" customHeight="1">
      <c r="A55" s="189" t="str">
        <f t="shared" si="27"/>
        <v>Safflower</v>
      </c>
      <c r="B55" s="189" t="str">
        <f t="shared" si="28"/>
        <v>0</v>
      </c>
      <c r="C55" s="189" t="str">
        <f t="shared" ref="C55:H55" si="32">(B55/B$40)*C$40</f>
        <v>0</v>
      </c>
      <c r="D55" s="189" t="str">
        <f t="shared" si="32"/>
        <v>0</v>
      </c>
      <c r="E55" s="189" t="str">
        <f t="shared" si="32"/>
        <v>0</v>
      </c>
      <c r="F55" s="189" t="str">
        <f t="shared" si="32"/>
        <v>0</v>
      </c>
      <c r="G55" s="189" t="str">
        <f t="shared" si="32"/>
        <v>0</v>
      </c>
      <c r="H55" s="189" t="str">
        <f t="shared" si="32"/>
        <v>0</v>
      </c>
    </row>
    <row r="56" ht="15.75" customHeight="1">
      <c r="A56" s="189" t="str">
        <f t="shared" si="27"/>
        <v>Groundnut</v>
      </c>
      <c r="B56" s="189" t="str">
        <f t="shared" si="28"/>
        <v>393.33195</v>
      </c>
      <c r="C56" s="189" t="str">
        <f t="shared" ref="C56:H56" si="33">(B56/B$40)*C$40</f>
        <v>458.887275</v>
      </c>
      <c r="D56" s="189" t="str">
        <f t="shared" si="33"/>
        <v>524.4426</v>
      </c>
      <c r="E56" s="189" t="str">
        <f t="shared" si="33"/>
        <v>589.997925</v>
      </c>
      <c r="F56" s="189" t="str">
        <f t="shared" si="33"/>
        <v>655.55325</v>
      </c>
      <c r="G56" s="189" t="str">
        <f t="shared" si="33"/>
        <v>721.108575</v>
      </c>
      <c r="H56" s="189" t="str">
        <f t="shared" si="33"/>
        <v>786.6639</v>
      </c>
    </row>
    <row r="57" ht="15.75" customHeight="1">
      <c r="A57" s="189" t="str">
        <f t="shared" si="27"/>
        <v/>
      </c>
      <c r="B57" s="189" t="str">
        <f t="shared" si="28"/>
        <v>0</v>
      </c>
      <c r="C57" s="189" t="str">
        <f t="shared" ref="C57:H57" si="34">(B57/B$40)*C$40</f>
        <v>0</v>
      </c>
      <c r="D57" s="189" t="str">
        <f t="shared" si="34"/>
        <v>0</v>
      </c>
      <c r="E57" s="189" t="str">
        <f t="shared" si="34"/>
        <v>0</v>
      </c>
      <c r="F57" s="189" t="str">
        <f t="shared" si="34"/>
        <v>0</v>
      </c>
      <c r="G57" s="189" t="str">
        <f t="shared" si="34"/>
        <v>0</v>
      </c>
      <c r="H57" s="189" t="str">
        <f t="shared" si="34"/>
        <v>0</v>
      </c>
    </row>
    <row r="58" ht="15.75" customHeight="1">
      <c r="A58" s="189" t="str">
        <f t="shared" si="27"/>
        <v/>
      </c>
      <c r="B58" s="189" t="str">
        <f t="shared" si="28"/>
        <v>0</v>
      </c>
      <c r="C58" s="189" t="str">
        <f t="shared" ref="C58:H58" si="35">(B58/B$40)*C$40</f>
        <v>0</v>
      </c>
      <c r="D58" s="189" t="str">
        <f t="shared" si="35"/>
        <v>0</v>
      </c>
      <c r="E58" s="189" t="str">
        <f t="shared" si="35"/>
        <v>0</v>
      </c>
      <c r="F58" s="189" t="str">
        <f t="shared" si="35"/>
        <v>0</v>
      </c>
      <c r="G58" s="189" t="str">
        <f t="shared" si="35"/>
        <v>0</v>
      </c>
      <c r="H58" s="189" t="str">
        <f t="shared" si="35"/>
        <v>0</v>
      </c>
    </row>
    <row r="59" ht="15.75" customHeight="1">
      <c r="A59" s="189" t="str">
        <f t="shared" ref="A59:A62" si="37">B33</f>
        <v>Soybean</v>
      </c>
      <c r="B59" s="189" t="str">
        <f t="shared" ref="B59:B62" si="38">H33*$B$40</f>
        <v>91.777455</v>
      </c>
      <c r="C59" s="189" t="str">
        <f t="shared" ref="C59:H59" si="36">(B59/B$40)*C$40</f>
        <v>107.0736975</v>
      </c>
      <c r="D59" s="189" t="str">
        <f t="shared" si="36"/>
        <v>122.36994</v>
      </c>
      <c r="E59" s="189" t="str">
        <f t="shared" si="36"/>
        <v>137.6661825</v>
      </c>
      <c r="F59" s="189" t="str">
        <f t="shared" si="36"/>
        <v>152.962425</v>
      </c>
      <c r="G59" s="189" t="str">
        <f t="shared" si="36"/>
        <v>168.2586675</v>
      </c>
      <c r="H59" s="189" t="str">
        <f t="shared" si="36"/>
        <v>183.55491</v>
      </c>
    </row>
    <row r="60" ht="15.75" customHeight="1">
      <c r="A60" s="189" t="str">
        <f t="shared" si="37"/>
        <v/>
      </c>
      <c r="B60" s="189" t="str">
        <f t="shared" si="38"/>
        <v>0</v>
      </c>
      <c r="C60" s="189" t="str">
        <f t="shared" ref="C60:H60" si="39">(B60/B$40)*C$40</f>
        <v>0</v>
      </c>
      <c r="D60" s="189" t="str">
        <f t="shared" si="39"/>
        <v>0</v>
      </c>
      <c r="E60" s="189" t="str">
        <f t="shared" si="39"/>
        <v>0</v>
      </c>
      <c r="F60" s="189" t="str">
        <f t="shared" si="39"/>
        <v>0</v>
      </c>
      <c r="G60" s="189" t="str">
        <f t="shared" si="39"/>
        <v>0</v>
      </c>
      <c r="H60" s="189" t="str">
        <f t="shared" si="39"/>
        <v>0</v>
      </c>
    </row>
    <row r="61" ht="15.75" customHeight="1">
      <c r="A61" s="189" t="str">
        <f t="shared" si="37"/>
        <v/>
      </c>
      <c r="B61" s="189" t="str">
        <f t="shared" si="38"/>
        <v>0</v>
      </c>
      <c r="C61" s="189" t="str">
        <f t="shared" ref="C61:H61" si="40">(B61/B$40)*C$40</f>
        <v>0</v>
      </c>
      <c r="D61" s="189" t="str">
        <f t="shared" si="40"/>
        <v>0</v>
      </c>
      <c r="E61" s="189" t="str">
        <f t="shared" si="40"/>
        <v>0</v>
      </c>
      <c r="F61" s="189" t="str">
        <f t="shared" si="40"/>
        <v>0</v>
      </c>
      <c r="G61" s="189" t="str">
        <f t="shared" si="40"/>
        <v>0</v>
      </c>
      <c r="H61" s="189" t="str">
        <f t="shared" si="40"/>
        <v>0</v>
      </c>
    </row>
    <row r="62" ht="15.75" customHeight="1">
      <c r="A62" s="189" t="str">
        <f t="shared" si="37"/>
        <v/>
      </c>
      <c r="B62" s="189" t="str">
        <f t="shared" si="38"/>
        <v>0</v>
      </c>
      <c r="C62" s="189" t="str">
        <f t="shared" ref="C62:H62" si="41">(B62/B$40)*C$40</f>
        <v>0</v>
      </c>
      <c r="D62" s="189" t="str">
        <f t="shared" si="41"/>
        <v>0</v>
      </c>
      <c r="E62" s="189" t="str">
        <f t="shared" si="41"/>
        <v>0</v>
      </c>
      <c r="F62" s="189" t="str">
        <f t="shared" si="41"/>
        <v>0</v>
      </c>
      <c r="G62" s="189" t="str">
        <f t="shared" si="41"/>
        <v>0</v>
      </c>
      <c r="H62" s="189" t="str">
        <f t="shared" si="41"/>
        <v>0</v>
      </c>
    </row>
    <row r="63" ht="15.75" customHeight="1"/>
    <row r="64" ht="15.75" customHeight="1">
      <c r="A64" s="335" t="s">
        <v>567</v>
      </c>
      <c r="B64" s="5"/>
      <c r="C64" s="5"/>
      <c r="D64" s="5"/>
      <c r="E64" s="5"/>
      <c r="F64" s="5"/>
      <c r="G64" s="5"/>
      <c r="H64" s="6"/>
    </row>
    <row r="65" ht="15.75" customHeight="1">
      <c r="A65" s="336" t="s">
        <v>174</v>
      </c>
      <c r="B65" s="337">
        <v>0.1</v>
      </c>
      <c r="C65" s="337" t="str">
        <f t="shared" ref="C65:H65" si="42">B65+0.05</f>
        <v>15%</v>
      </c>
      <c r="D65" s="337" t="str">
        <f t="shared" si="42"/>
        <v>20%</v>
      </c>
      <c r="E65" s="337" t="str">
        <f t="shared" si="42"/>
        <v>25%</v>
      </c>
      <c r="F65" s="337" t="str">
        <f t="shared" si="42"/>
        <v>30%</v>
      </c>
      <c r="G65" s="337" t="str">
        <f t="shared" si="42"/>
        <v>35%</v>
      </c>
      <c r="H65" s="337" t="str">
        <f t="shared" si="42"/>
        <v>40%</v>
      </c>
    </row>
    <row r="66" ht="15.75" customHeight="1">
      <c r="A66" s="21"/>
      <c r="B66" s="315" t="s">
        <v>177</v>
      </c>
      <c r="C66" s="315" t="s">
        <v>178</v>
      </c>
      <c r="D66" s="315" t="s">
        <v>179</v>
      </c>
      <c r="E66" s="315" t="s">
        <v>180</v>
      </c>
      <c r="F66" s="315" t="s">
        <v>181</v>
      </c>
      <c r="G66" s="315" t="s">
        <v>182</v>
      </c>
      <c r="H66" s="315" t="s">
        <v>183</v>
      </c>
    </row>
    <row r="67" ht="15.75" customHeight="1">
      <c r="A67" s="189" t="str">
        <f t="shared" ref="A67:A87" si="44">A42</f>
        <v>Soybean</v>
      </c>
      <c r="B67" s="189" t="str">
        <f>H14*$B$65*0</f>
        <v>0</v>
      </c>
      <c r="C67" s="189" t="str">
        <f t="shared" ref="C67:H67" si="43">(B67/B$65)*C$65</f>
        <v>0</v>
      </c>
      <c r="D67" s="189" t="str">
        <f t="shared" si="43"/>
        <v>0</v>
      </c>
      <c r="E67" s="189" t="str">
        <f t="shared" si="43"/>
        <v>0</v>
      </c>
      <c r="F67" s="189" t="str">
        <f t="shared" si="43"/>
        <v>0</v>
      </c>
      <c r="G67" s="189" t="str">
        <f t="shared" si="43"/>
        <v>0</v>
      </c>
      <c r="H67" s="189" t="str">
        <f t="shared" si="43"/>
        <v>0</v>
      </c>
      <c r="I67" s="121"/>
      <c r="J67" s="121"/>
      <c r="K67" s="121"/>
      <c r="L67" s="121"/>
      <c r="M67" s="121"/>
      <c r="N67" s="121"/>
      <c r="O67" s="121"/>
      <c r="P67" s="121"/>
      <c r="Q67" s="121"/>
      <c r="R67" s="121"/>
      <c r="S67" s="121"/>
      <c r="T67" s="121"/>
      <c r="U67" s="121"/>
      <c r="V67" s="121"/>
      <c r="W67" s="121"/>
      <c r="X67" s="121"/>
      <c r="Y67" s="121"/>
      <c r="Z67" s="121"/>
    </row>
    <row r="68" ht="15.75" customHeight="1">
      <c r="A68" s="189" t="str">
        <f t="shared" si="44"/>
        <v>Redgram</v>
      </c>
      <c r="B68" s="189" t="str">
        <f t="shared" ref="B68:B75" si="46">H15*$B$65</f>
        <v>419.3775</v>
      </c>
      <c r="C68" s="189" t="str">
        <f t="shared" ref="C68:H68" si="45">(B68/B$65)*C$65</f>
        <v>629.06625</v>
      </c>
      <c r="D68" s="189" t="str">
        <f t="shared" si="45"/>
        <v>838.755</v>
      </c>
      <c r="E68" s="189" t="str">
        <f t="shared" si="45"/>
        <v>1048.44375</v>
      </c>
      <c r="F68" s="189" t="str">
        <f t="shared" si="45"/>
        <v>1258.1325</v>
      </c>
      <c r="G68" s="189" t="str">
        <f t="shared" si="45"/>
        <v>1467.82125</v>
      </c>
      <c r="H68" s="189" t="str">
        <f t="shared" si="45"/>
        <v>1677.51</v>
      </c>
    </row>
    <row r="69" ht="15.75" customHeight="1">
      <c r="A69" s="189" t="str">
        <f t="shared" si="44"/>
        <v>Turmeric</v>
      </c>
      <c r="B69" s="189" t="str">
        <f t="shared" si="46"/>
        <v>882.9</v>
      </c>
      <c r="C69" s="189" t="str">
        <f t="shared" ref="C69:H69" si="47">(B69/B$65)*C$65</f>
        <v>1324.35</v>
      </c>
      <c r="D69" s="189" t="str">
        <f t="shared" si="47"/>
        <v>1765.8</v>
      </c>
      <c r="E69" s="189" t="str">
        <f t="shared" si="47"/>
        <v>2207.25</v>
      </c>
      <c r="F69" s="189" t="str">
        <f t="shared" si="47"/>
        <v>2648.7</v>
      </c>
      <c r="G69" s="189" t="str">
        <f t="shared" si="47"/>
        <v>3090.15</v>
      </c>
      <c r="H69" s="189" t="str">
        <f t="shared" si="47"/>
        <v>3531.6</v>
      </c>
    </row>
    <row r="70" ht="15.75" customHeight="1">
      <c r="A70" s="189" t="str">
        <f t="shared" si="44"/>
        <v>Bengalgram</v>
      </c>
      <c r="B70" s="189" t="str">
        <f t="shared" si="46"/>
        <v>305.92485</v>
      </c>
      <c r="C70" s="189" t="str">
        <f t="shared" ref="C70:H70" si="48">(B70/B$65)*C$65</f>
        <v>458.887275</v>
      </c>
      <c r="D70" s="189" t="str">
        <f t="shared" si="48"/>
        <v>611.8497</v>
      </c>
      <c r="E70" s="189" t="str">
        <f t="shared" si="48"/>
        <v>764.812125</v>
      </c>
      <c r="F70" s="189" t="str">
        <f t="shared" si="48"/>
        <v>917.77455</v>
      </c>
      <c r="G70" s="189" t="str">
        <f t="shared" si="48"/>
        <v>1070.736975</v>
      </c>
      <c r="H70" s="189" t="str">
        <f t="shared" si="48"/>
        <v>1223.6994</v>
      </c>
    </row>
    <row r="71" ht="15.75" customHeight="1">
      <c r="A71" s="189" t="str">
        <f t="shared" si="44"/>
        <v>Channa</v>
      </c>
      <c r="B71" s="189" t="str">
        <f t="shared" si="46"/>
        <v>0</v>
      </c>
      <c r="C71" s="189" t="str">
        <f t="shared" ref="C71:H71" si="49">(B71/B$65)*C$65</f>
        <v>0</v>
      </c>
      <c r="D71" s="189" t="str">
        <f t="shared" si="49"/>
        <v>0</v>
      </c>
      <c r="E71" s="189" t="str">
        <f t="shared" si="49"/>
        <v>0</v>
      </c>
      <c r="F71" s="189" t="str">
        <f t="shared" si="49"/>
        <v>0</v>
      </c>
      <c r="G71" s="189" t="str">
        <f t="shared" si="49"/>
        <v>0</v>
      </c>
      <c r="H71" s="189" t="str">
        <f t="shared" si="49"/>
        <v>0</v>
      </c>
    </row>
    <row r="72" ht="15.75" customHeight="1">
      <c r="A72" s="189" t="str">
        <f t="shared" si="44"/>
        <v>Udid</v>
      </c>
      <c r="B72" s="189" t="str">
        <f t="shared" si="46"/>
        <v>0</v>
      </c>
      <c r="C72" s="189" t="str">
        <f t="shared" ref="C72:H72" si="50">(B72/B$65)*C$65</f>
        <v>0</v>
      </c>
      <c r="D72" s="189" t="str">
        <f t="shared" si="50"/>
        <v>0</v>
      </c>
      <c r="E72" s="189" t="str">
        <f t="shared" si="50"/>
        <v>0</v>
      </c>
      <c r="F72" s="189" t="str">
        <f t="shared" si="50"/>
        <v>0</v>
      </c>
      <c r="G72" s="189" t="str">
        <f t="shared" si="50"/>
        <v>0</v>
      </c>
      <c r="H72" s="189" t="str">
        <f t="shared" si="50"/>
        <v>0</v>
      </c>
    </row>
    <row r="73" ht="15.75" customHeight="1">
      <c r="A73" s="189" t="str">
        <f t="shared" si="44"/>
        <v>Bajra</v>
      </c>
      <c r="B73" s="189" t="str">
        <f t="shared" si="46"/>
        <v>0</v>
      </c>
      <c r="C73" s="189" t="str">
        <f t="shared" ref="C73:H73" si="51">(B73/B$65)*C$65</f>
        <v>0</v>
      </c>
      <c r="D73" s="189" t="str">
        <f t="shared" si="51"/>
        <v>0</v>
      </c>
      <c r="E73" s="189" t="str">
        <f t="shared" si="51"/>
        <v>0</v>
      </c>
      <c r="F73" s="189" t="str">
        <f t="shared" si="51"/>
        <v>0</v>
      </c>
      <c r="G73" s="189" t="str">
        <f t="shared" si="51"/>
        <v>0</v>
      </c>
      <c r="H73" s="189" t="str">
        <f t="shared" si="51"/>
        <v>0</v>
      </c>
    </row>
    <row r="74" ht="15.75" customHeight="1">
      <c r="A74" s="189" t="str">
        <f t="shared" si="44"/>
        <v>Jawar</v>
      </c>
      <c r="B74" s="189" t="str">
        <f t="shared" si="46"/>
        <v>0</v>
      </c>
      <c r="C74" s="189" t="str">
        <f t="shared" ref="C74:H74" si="52">(B74/B$65)*C$65</f>
        <v>0</v>
      </c>
      <c r="D74" s="189" t="str">
        <f t="shared" si="52"/>
        <v>0</v>
      </c>
      <c r="E74" s="189" t="str">
        <f t="shared" si="52"/>
        <v>0</v>
      </c>
      <c r="F74" s="189" t="str">
        <f t="shared" si="52"/>
        <v>0</v>
      </c>
      <c r="G74" s="189" t="str">
        <f t="shared" si="52"/>
        <v>0</v>
      </c>
      <c r="H74" s="189" t="str">
        <f t="shared" si="52"/>
        <v>0</v>
      </c>
    </row>
    <row r="75" ht="15.75" customHeight="1">
      <c r="A75" s="189" t="str">
        <f t="shared" si="44"/>
        <v/>
      </c>
      <c r="B75" s="189" t="str">
        <f t="shared" si="46"/>
        <v>0</v>
      </c>
      <c r="C75" s="189" t="str">
        <f t="shared" ref="C75:H75" si="53">(B75/B$65)*C$65</f>
        <v>0</v>
      </c>
      <c r="D75" s="189" t="str">
        <f t="shared" si="53"/>
        <v>0</v>
      </c>
      <c r="E75" s="189" t="str">
        <f t="shared" si="53"/>
        <v>0</v>
      </c>
      <c r="F75" s="189" t="str">
        <f t="shared" si="53"/>
        <v>0</v>
      </c>
      <c r="G75" s="189" t="str">
        <f t="shared" si="53"/>
        <v>0</v>
      </c>
      <c r="H75" s="189" t="str">
        <f t="shared" si="53"/>
        <v>0</v>
      </c>
    </row>
    <row r="76" ht="15.75" customHeight="1">
      <c r="A76" s="189" t="str">
        <f t="shared" si="44"/>
        <v>Wheat</v>
      </c>
      <c r="B76" s="189" t="str">
        <f t="shared" ref="B76:B83" si="55">H24*$B$65</f>
        <v>1132.31925</v>
      </c>
      <c r="C76" s="189" t="str">
        <f t="shared" ref="C76:H76" si="54">(B76/B$65)*C$65</f>
        <v>1698.478875</v>
      </c>
      <c r="D76" s="189" t="str">
        <f t="shared" si="54"/>
        <v>2264.6385</v>
      </c>
      <c r="E76" s="189" t="str">
        <f t="shared" si="54"/>
        <v>2830.798125</v>
      </c>
      <c r="F76" s="189" t="str">
        <f t="shared" si="54"/>
        <v>3396.95775</v>
      </c>
      <c r="G76" s="189" t="str">
        <f t="shared" si="54"/>
        <v>3963.117375</v>
      </c>
      <c r="H76" s="189" t="str">
        <f t="shared" si="54"/>
        <v>4529.277</v>
      </c>
    </row>
    <row r="77" ht="15.75" customHeight="1">
      <c r="A77" s="189" t="str">
        <f t="shared" si="44"/>
        <v>Channa</v>
      </c>
      <c r="B77" s="189" t="str">
        <f t="shared" si="55"/>
        <v>3522.771</v>
      </c>
      <c r="C77" s="189" t="str">
        <f t="shared" ref="C77:H77" si="56">(B77/B$65)*C$65</f>
        <v>5284.1565</v>
      </c>
      <c r="D77" s="189" t="str">
        <f t="shared" si="56"/>
        <v>7045.542</v>
      </c>
      <c r="E77" s="189" t="str">
        <f t="shared" si="56"/>
        <v>8806.9275</v>
      </c>
      <c r="F77" s="189" t="str">
        <f t="shared" si="56"/>
        <v>10568.313</v>
      </c>
      <c r="G77" s="189" t="str">
        <f t="shared" si="56"/>
        <v>12329.6985</v>
      </c>
      <c r="H77" s="189" t="str">
        <f t="shared" si="56"/>
        <v>14091.084</v>
      </c>
    </row>
    <row r="78" ht="15.75" customHeight="1">
      <c r="A78" s="189" t="str">
        <f t="shared" si="44"/>
        <v>Jawar</v>
      </c>
      <c r="B78" s="189" t="str">
        <f t="shared" si="55"/>
        <v>411.07824</v>
      </c>
      <c r="C78" s="189" t="str">
        <f t="shared" ref="C78:H78" si="57">(B78/B$65)*C$65</f>
        <v>616.61736</v>
      </c>
      <c r="D78" s="189" t="str">
        <f t="shared" si="57"/>
        <v>822.15648</v>
      </c>
      <c r="E78" s="189" t="str">
        <f t="shared" si="57"/>
        <v>1027.6956</v>
      </c>
      <c r="F78" s="189" t="str">
        <f t="shared" si="57"/>
        <v>1233.23472</v>
      </c>
      <c r="G78" s="189" t="str">
        <f t="shared" si="57"/>
        <v>1438.77384</v>
      </c>
      <c r="H78" s="189" t="str">
        <f t="shared" si="57"/>
        <v>1644.31296</v>
      </c>
    </row>
    <row r="79" ht="15.75" customHeight="1">
      <c r="A79" s="189" t="str">
        <f t="shared" si="44"/>
        <v>Maize</v>
      </c>
      <c r="B79" s="189" t="str">
        <f t="shared" si="55"/>
        <v>0</v>
      </c>
      <c r="C79" s="189" t="str">
        <f t="shared" ref="C79:H79" si="58">(B79/B$65)*C$65</f>
        <v>0</v>
      </c>
      <c r="D79" s="189" t="str">
        <f t="shared" si="58"/>
        <v>0</v>
      </c>
      <c r="E79" s="189" t="str">
        <f t="shared" si="58"/>
        <v>0</v>
      </c>
      <c r="F79" s="189" t="str">
        <f t="shared" si="58"/>
        <v>0</v>
      </c>
      <c r="G79" s="189" t="str">
        <f t="shared" si="58"/>
        <v>0</v>
      </c>
      <c r="H79" s="189" t="str">
        <f t="shared" si="58"/>
        <v>0</v>
      </c>
    </row>
    <row r="80" ht="15.75" customHeight="1">
      <c r="A80" s="189" t="str">
        <f t="shared" si="44"/>
        <v>Safflower</v>
      </c>
      <c r="B80" s="189" t="str">
        <f t="shared" si="55"/>
        <v>0</v>
      </c>
      <c r="C80" s="189" t="str">
        <f t="shared" ref="C80:H80" si="59">(B80/B$65)*C$65</f>
        <v>0</v>
      </c>
      <c r="D80" s="189" t="str">
        <f t="shared" si="59"/>
        <v>0</v>
      </c>
      <c r="E80" s="189" t="str">
        <f t="shared" si="59"/>
        <v>0</v>
      </c>
      <c r="F80" s="189" t="str">
        <f t="shared" si="59"/>
        <v>0</v>
      </c>
      <c r="G80" s="189" t="str">
        <f t="shared" si="59"/>
        <v>0</v>
      </c>
      <c r="H80" s="189" t="str">
        <f t="shared" si="59"/>
        <v>0</v>
      </c>
    </row>
    <row r="81" ht="15.75" customHeight="1">
      <c r="A81" s="189" t="str">
        <f t="shared" si="44"/>
        <v>Groundnut</v>
      </c>
      <c r="B81" s="189" t="str">
        <f t="shared" si="55"/>
        <v>131.11065</v>
      </c>
      <c r="C81" s="189" t="str">
        <f t="shared" ref="C81:H81" si="60">(B81/B$65)*C$65</f>
        <v>196.665975</v>
      </c>
      <c r="D81" s="189" t="str">
        <f t="shared" si="60"/>
        <v>262.2213</v>
      </c>
      <c r="E81" s="189" t="str">
        <f t="shared" si="60"/>
        <v>327.776625</v>
      </c>
      <c r="F81" s="189" t="str">
        <f t="shared" si="60"/>
        <v>393.33195</v>
      </c>
      <c r="G81" s="189" t="str">
        <f t="shared" si="60"/>
        <v>458.887275</v>
      </c>
      <c r="H81" s="189" t="str">
        <f t="shared" si="60"/>
        <v>524.4426</v>
      </c>
    </row>
    <row r="82" ht="15.75" customHeight="1">
      <c r="A82" s="189" t="str">
        <f t="shared" si="44"/>
        <v/>
      </c>
      <c r="B82" s="189" t="str">
        <f t="shared" si="55"/>
        <v>0</v>
      </c>
      <c r="C82" s="189" t="str">
        <f t="shared" ref="C82:H82" si="61">(B82/B$65)*C$65</f>
        <v>0</v>
      </c>
      <c r="D82" s="189" t="str">
        <f t="shared" si="61"/>
        <v>0</v>
      </c>
      <c r="E82" s="189" t="str">
        <f t="shared" si="61"/>
        <v>0</v>
      </c>
      <c r="F82" s="189" t="str">
        <f t="shared" si="61"/>
        <v>0</v>
      </c>
      <c r="G82" s="189" t="str">
        <f t="shared" si="61"/>
        <v>0</v>
      </c>
      <c r="H82" s="189" t="str">
        <f t="shared" si="61"/>
        <v>0</v>
      </c>
    </row>
    <row r="83" ht="15.75" customHeight="1">
      <c r="A83" s="189" t="str">
        <f t="shared" si="44"/>
        <v/>
      </c>
      <c r="B83" s="189" t="str">
        <f t="shared" si="55"/>
        <v>0</v>
      </c>
      <c r="C83" s="189" t="str">
        <f t="shared" ref="C83:H83" si="62">(B83/B$65)*C$65</f>
        <v>0</v>
      </c>
      <c r="D83" s="189" t="str">
        <f t="shared" si="62"/>
        <v>0</v>
      </c>
      <c r="E83" s="189" t="str">
        <f t="shared" si="62"/>
        <v>0</v>
      </c>
      <c r="F83" s="189" t="str">
        <f t="shared" si="62"/>
        <v>0</v>
      </c>
      <c r="G83" s="189" t="str">
        <f t="shared" si="62"/>
        <v>0</v>
      </c>
      <c r="H83" s="189" t="str">
        <f t="shared" si="62"/>
        <v>0</v>
      </c>
    </row>
    <row r="84" ht="15.75" customHeight="1">
      <c r="A84" s="189" t="str">
        <f t="shared" si="44"/>
        <v>Soybean</v>
      </c>
      <c r="B84" s="189" t="str">
        <f t="shared" ref="B84:B87" si="64">H33*$B$65</f>
        <v>30.592485</v>
      </c>
      <c r="C84" s="189" t="str">
        <f t="shared" ref="C84:H84" si="63">(B84/B$65)*C$65</f>
        <v>45.8887275</v>
      </c>
      <c r="D84" s="189" t="str">
        <f t="shared" si="63"/>
        <v>61.18497</v>
      </c>
      <c r="E84" s="189" t="str">
        <f t="shared" si="63"/>
        <v>76.4812125</v>
      </c>
      <c r="F84" s="189" t="str">
        <f t="shared" si="63"/>
        <v>91.777455</v>
      </c>
      <c r="G84" s="189" t="str">
        <f t="shared" si="63"/>
        <v>107.0736975</v>
      </c>
      <c r="H84" s="189" t="str">
        <f t="shared" si="63"/>
        <v>122.36994</v>
      </c>
    </row>
    <row r="85" ht="15.75" customHeight="1">
      <c r="A85" s="189" t="str">
        <f t="shared" si="44"/>
        <v/>
      </c>
      <c r="B85" s="189" t="str">
        <f t="shared" si="64"/>
        <v>0</v>
      </c>
      <c r="C85" s="189" t="str">
        <f t="shared" ref="C85:H85" si="65">(B85/B$65)*C$65</f>
        <v>0</v>
      </c>
      <c r="D85" s="189" t="str">
        <f t="shared" si="65"/>
        <v>0</v>
      </c>
      <c r="E85" s="189" t="str">
        <f t="shared" si="65"/>
        <v>0</v>
      </c>
      <c r="F85" s="189" t="str">
        <f t="shared" si="65"/>
        <v>0</v>
      </c>
      <c r="G85" s="189" t="str">
        <f t="shared" si="65"/>
        <v>0</v>
      </c>
      <c r="H85" s="189" t="str">
        <f t="shared" si="65"/>
        <v>0</v>
      </c>
    </row>
    <row r="86" ht="15.75" customHeight="1">
      <c r="A86" s="189" t="str">
        <f t="shared" si="44"/>
        <v/>
      </c>
      <c r="B86" s="189" t="str">
        <f t="shared" si="64"/>
        <v>0</v>
      </c>
      <c r="C86" s="189" t="str">
        <f t="shared" ref="C86:H86" si="66">(B86/B$65)*C$65</f>
        <v>0</v>
      </c>
      <c r="D86" s="189" t="str">
        <f t="shared" si="66"/>
        <v>0</v>
      </c>
      <c r="E86" s="189" t="str">
        <f t="shared" si="66"/>
        <v>0</v>
      </c>
      <c r="F86" s="189" t="str">
        <f t="shared" si="66"/>
        <v>0</v>
      </c>
      <c r="G86" s="189" t="str">
        <f t="shared" si="66"/>
        <v>0</v>
      </c>
      <c r="H86" s="189" t="str">
        <f t="shared" si="66"/>
        <v>0</v>
      </c>
    </row>
    <row r="87" ht="15.75" customHeight="1">
      <c r="A87" s="189" t="str">
        <f t="shared" si="44"/>
        <v/>
      </c>
      <c r="B87" s="189" t="str">
        <f t="shared" si="64"/>
        <v>0</v>
      </c>
      <c r="C87" s="189" t="str">
        <f t="shared" ref="C87:H87" si="67">(B87/B$65)*C$65</f>
        <v>0</v>
      </c>
      <c r="D87" s="189" t="str">
        <f t="shared" si="67"/>
        <v>0</v>
      </c>
      <c r="E87" s="189" t="str">
        <f t="shared" si="67"/>
        <v>0</v>
      </c>
      <c r="F87" s="189" t="str">
        <f t="shared" si="67"/>
        <v>0</v>
      </c>
      <c r="G87" s="189" t="str">
        <f t="shared" si="67"/>
        <v>0</v>
      </c>
      <c r="H87" s="189" t="str">
        <f t="shared" si="67"/>
        <v>0</v>
      </c>
    </row>
    <row r="88" ht="15.75" customHeight="1">
      <c r="B88" s="121"/>
      <c r="C88" s="121"/>
      <c r="D88" s="121"/>
      <c r="E88" s="121"/>
      <c r="F88" s="121"/>
      <c r="G88" s="121"/>
      <c r="H88" s="121"/>
      <c r="I88" s="121"/>
    </row>
    <row r="89" ht="15.75" customHeight="1">
      <c r="A89" s="338" t="s">
        <v>568</v>
      </c>
      <c r="B89" s="5"/>
      <c r="C89" s="5"/>
      <c r="D89" s="5"/>
      <c r="E89" s="5"/>
      <c r="F89" s="5"/>
      <c r="G89" s="5"/>
      <c r="H89" s="6"/>
    </row>
    <row r="90" ht="15.75" customHeight="1">
      <c r="A90" s="339" t="s">
        <v>174</v>
      </c>
      <c r="B90" s="340">
        <v>0.65</v>
      </c>
      <c r="C90" s="341" t="str">
        <f t="shared" ref="C90:H90" si="68">B90+0.05</f>
        <v>70.0%</v>
      </c>
      <c r="D90" s="341" t="str">
        <f t="shared" si="68"/>
        <v>75.0%</v>
      </c>
      <c r="E90" s="341" t="str">
        <f t="shared" si="68"/>
        <v>80.0%</v>
      </c>
      <c r="F90" s="341" t="str">
        <f t="shared" si="68"/>
        <v>85.0%</v>
      </c>
      <c r="G90" s="341" t="str">
        <f t="shared" si="68"/>
        <v>90.0%</v>
      </c>
      <c r="H90" s="341" t="str">
        <f t="shared" si="68"/>
        <v>95.0%</v>
      </c>
    </row>
    <row r="91" ht="15.75" customHeight="1">
      <c r="A91" s="21"/>
      <c r="B91" s="315" t="s">
        <v>177</v>
      </c>
      <c r="C91" s="315" t="s">
        <v>178</v>
      </c>
      <c r="D91" s="315" t="s">
        <v>179</v>
      </c>
      <c r="E91" s="315" t="s">
        <v>180</v>
      </c>
      <c r="F91" s="315" t="s">
        <v>181</v>
      </c>
      <c r="G91" s="315" t="s">
        <v>182</v>
      </c>
      <c r="H91" s="315" t="s">
        <v>183</v>
      </c>
    </row>
    <row r="92" ht="15.75" customHeight="1">
      <c r="A92" s="189" t="str">
        <f t="shared" ref="A92:A112" si="70">A67</f>
        <v>Soybean</v>
      </c>
      <c r="B92" s="189" t="str">
        <f t="shared" ref="B92:B100" si="71">D14*$B$90</f>
        <v>4878.0225</v>
      </c>
      <c r="C92" s="189" t="str">
        <f t="shared" ref="C92:H92" si="69">(B92/B$90)*C$90</f>
        <v>5253.255</v>
      </c>
      <c r="D92" s="189" t="str">
        <f t="shared" si="69"/>
        <v>5628.4875</v>
      </c>
      <c r="E92" s="189" t="str">
        <f t="shared" si="69"/>
        <v>6003.72</v>
      </c>
      <c r="F92" s="189" t="str">
        <f t="shared" si="69"/>
        <v>6378.9525</v>
      </c>
      <c r="G92" s="189" t="str">
        <f t="shared" si="69"/>
        <v>6754.185</v>
      </c>
      <c r="H92" s="189" t="str">
        <f t="shared" si="69"/>
        <v>7129.4175</v>
      </c>
      <c r="I92" s="121"/>
      <c r="J92" s="121"/>
      <c r="K92" s="121"/>
      <c r="L92" s="121"/>
      <c r="M92" s="121"/>
      <c r="N92" s="121"/>
      <c r="O92" s="121"/>
      <c r="P92" s="121"/>
      <c r="Q92" s="121"/>
      <c r="R92" s="121"/>
      <c r="S92" s="121"/>
      <c r="T92" s="121"/>
      <c r="U92" s="121"/>
      <c r="V92" s="121"/>
      <c r="W92" s="121"/>
      <c r="X92" s="121"/>
      <c r="Y92" s="121"/>
      <c r="Z92" s="121"/>
    </row>
    <row r="93" ht="15.75" customHeight="1">
      <c r="A93" s="189" t="str">
        <f t="shared" si="70"/>
        <v>Redgram</v>
      </c>
      <c r="B93" s="189" t="str">
        <f t="shared" si="71"/>
        <v>286.9425</v>
      </c>
      <c r="C93" s="189" t="str">
        <f t="shared" ref="C93:C113" si="73">(B93/B$90)*C$90</f>
        <v>309.015</v>
      </c>
      <c r="D93" s="189" t="str">
        <f t="shared" ref="D93:H93" si="72">(C93/C90)*D90</f>
        <v>331.0875</v>
      </c>
      <c r="E93" s="189" t="str">
        <f t="shared" si="72"/>
        <v>353.16</v>
      </c>
      <c r="F93" s="189" t="str">
        <f t="shared" si="72"/>
        <v>375.2325</v>
      </c>
      <c r="G93" s="189" t="str">
        <f t="shared" si="72"/>
        <v>397.305</v>
      </c>
      <c r="H93" s="189" t="str">
        <f t="shared" si="72"/>
        <v>419.3775</v>
      </c>
    </row>
    <row r="94" ht="15.75" customHeight="1">
      <c r="A94" s="189" t="str">
        <f t="shared" si="70"/>
        <v>Turmeric</v>
      </c>
      <c r="B94" s="189" t="str">
        <f t="shared" si="71"/>
        <v>573.885</v>
      </c>
      <c r="C94" s="189" t="str">
        <f t="shared" si="73"/>
        <v>618.03</v>
      </c>
      <c r="D94" s="189" t="str">
        <f t="shared" ref="D94:H94" si="74">(C94/C$90)*D$90</f>
        <v>662.175</v>
      </c>
      <c r="E94" s="189" t="str">
        <f t="shared" si="74"/>
        <v>706.32</v>
      </c>
      <c r="F94" s="189" t="str">
        <f t="shared" si="74"/>
        <v>750.465</v>
      </c>
      <c r="G94" s="189" t="str">
        <f t="shared" si="74"/>
        <v>794.61</v>
      </c>
      <c r="H94" s="189" t="str">
        <f t="shared" si="74"/>
        <v>838.755</v>
      </c>
    </row>
    <row r="95" ht="15.75" customHeight="1">
      <c r="A95" s="189" t="str">
        <f t="shared" si="70"/>
        <v>Bengalgram</v>
      </c>
      <c r="B95" s="189" t="str">
        <f t="shared" si="71"/>
        <v>286.9425</v>
      </c>
      <c r="C95" s="189" t="str">
        <f t="shared" si="73"/>
        <v>309.015</v>
      </c>
      <c r="D95" s="189" t="str">
        <f t="shared" ref="D95:H95" si="75">(C95/C$90)*D$90</f>
        <v>331.0875</v>
      </c>
      <c r="E95" s="189" t="str">
        <f t="shared" si="75"/>
        <v>353.16</v>
      </c>
      <c r="F95" s="189" t="str">
        <f t="shared" si="75"/>
        <v>375.2325</v>
      </c>
      <c r="G95" s="189" t="str">
        <f t="shared" si="75"/>
        <v>397.305</v>
      </c>
      <c r="H95" s="189" t="str">
        <f t="shared" si="75"/>
        <v>419.3775</v>
      </c>
    </row>
    <row r="96" ht="15.75" customHeight="1">
      <c r="A96" s="189" t="str">
        <f t="shared" si="70"/>
        <v>Channa</v>
      </c>
      <c r="B96" s="189" t="str">
        <f t="shared" si="71"/>
        <v>0</v>
      </c>
      <c r="C96" s="189" t="str">
        <f t="shared" si="73"/>
        <v>0</v>
      </c>
      <c r="D96" s="189" t="str">
        <f t="shared" ref="D96:H96" si="76">(C96/C$90)*D$90</f>
        <v>0</v>
      </c>
      <c r="E96" s="189" t="str">
        <f t="shared" si="76"/>
        <v>0</v>
      </c>
      <c r="F96" s="189" t="str">
        <f t="shared" si="76"/>
        <v>0</v>
      </c>
      <c r="G96" s="189" t="str">
        <f t="shared" si="76"/>
        <v>0</v>
      </c>
      <c r="H96" s="189" t="str">
        <f t="shared" si="76"/>
        <v>0</v>
      </c>
    </row>
    <row r="97" ht="15.75" customHeight="1">
      <c r="A97" s="189" t="str">
        <f t="shared" si="70"/>
        <v>Udid</v>
      </c>
      <c r="B97" s="189" t="str">
        <f t="shared" si="71"/>
        <v>0</v>
      </c>
      <c r="C97" s="189" t="str">
        <f t="shared" si="73"/>
        <v>0</v>
      </c>
      <c r="D97" s="189" t="str">
        <f t="shared" ref="D97:H97" si="77">(C97/C$90)*D$90</f>
        <v>0</v>
      </c>
      <c r="E97" s="189" t="str">
        <f t="shared" si="77"/>
        <v>0</v>
      </c>
      <c r="F97" s="189" t="str">
        <f t="shared" si="77"/>
        <v>0</v>
      </c>
      <c r="G97" s="189" t="str">
        <f t="shared" si="77"/>
        <v>0</v>
      </c>
      <c r="H97" s="189" t="str">
        <f t="shared" si="77"/>
        <v>0</v>
      </c>
    </row>
    <row r="98" ht="15.75" customHeight="1">
      <c r="A98" s="189" t="str">
        <f t="shared" si="70"/>
        <v>Bajra</v>
      </c>
      <c r="B98" s="189" t="str">
        <f t="shared" si="71"/>
        <v>286.9425</v>
      </c>
      <c r="C98" s="189" t="str">
        <f t="shared" si="73"/>
        <v>309.015</v>
      </c>
      <c r="D98" s="189" t="str">
        <f t="shared" ref="D98:H98" si="78">(C98/C$90)*D$90</f>
        <v>331.0875</v>
      </c>
      <c r="E98" s="189" t="str">
        <f t="shared" si="78"/>
        <v>353.16</v>
      </c>
      <c r="F98" s="189" t="str">
        <f t="shared" si="78"/>
        <v>375.2325</v>
      </c>
      <c r="G98" s="189" t="str">
        <f t="shared" si="78"/>
        <v>397.305</v>
      </c>
      <c r="H98" s="189" t="str">
        <f t="shared" si="78"/>
        <v>419.3775</v>
      </c>
    </row>
    <row r="99" ht="15.75" customHeight="1">
      <c r="A99" s="189" t="str">
        <f t="shared" si="70"/>
        <v>Jawar</v>
      </c>
      <c r="B99" s="189" t="str">
        <f t="shared" si="71"/>
        <v>0</v>
      </c>
      <c r="C99" s="189" t="str">
        <f t="shared" si="73"/>
        <v>0</v>
      </c>
      <c r="D99" s="189" t="str">
        <f t="shared" ref="D99:H99" si="79">(C99/C$90)*D$90</f>
        <v>0</v>
      </c>
      <c r="E99" s="189" t="str">
        <f t="shared" si="79"/>
        <v>0</v>
      </c>
      <c r="F99" s="189" t="str">
        <f t="shared" si="79"/>
        <v>0</v>
      </c>
      <c r="G99" s="189" t="str">
        <f t="shared" si="79"/>
        <v>0</v>
      </c>
      <c r="H99" s="189" t="str">
        <f t="shared" si="79"/>
        <v>0</v>
      </c>
    </row>
    <row r="100" ht="15.75" customHeight="1">
      <c r="A100" s="189" t="str">
        <f t="shared" si="70"/>
        <v/>
      </c>
      <c r="B100" s="189" t="str">
        <f t="shared" si="71"/>
        <v>0</v>
      </c>
      <c r="C100" s="189" t="str">
        <f t="shared" si="73"/>
        <v>0</v>
      </c>
      <c r="D100" s="189" t="str">
        <f t="shared" ref="D100:H100" si="80">(C100/C$90)*D$90</f>
        <v>0</v>
      </c>
      <c r="E100" s="189" t="str">
        <f t="shared" si="80"/>
        <v>0</v>
      </c>
      <c r="F100" s="189" t="str">
        <f t="shared" si="80"/>
        <v>0</v>
      </c>
      <c r="G100" s="189" t="str">
        <f t="shared" si="80"/>
        <v>0</v>
      </c>
      <c r="H100" s="189" t="str">
        <f t="shared" si="80"/>
        <v>0</v>
      </c>
    </row>
    <row r="101" ht="15.75" customHeight="1">
      <c r="A101" s="189" t="str">
        <f t="shared" si="70"/>
        <v>Wheat</v>
      </c>
      <c r="B101" s="189" t="str">
        <f t="shared" ref="B101:B108" si="82">D24*$B$90</f>
        <v>516.4965</v>
      </c>
      <c r="C101" s="189" t="str">
        <f t="shared" si="73"/>
        <v>556.227</v>
      </c>
      <c r="D101" s="189" t="str">
        <f t="shared" ref="D101:H101" si="81">(C101/C$90)*D$90</f>
        <v>595.9575</v>
      </c>
      <c r="E101" s="189" t="str">
        <f t="shared" si="81"/>
        <v>635.688</v>
      </c>
      <c r="F101" s="189" t="str">
        <f t="shared" si="81"/>
        <v>675.4185</v>
      </c>
      <c r="G101" s="189" t="str">
        <f t="shared" si="81"/>
        <v>715.149</v>
      </c>
      <c r="H101" s="189" t="str">
        <f t="shared" si="81"/>
        <v>754.8795</v>
      </c>
    </row>
    <row r="102" ht="15.75" customHeight="1">
      <c r="A102" s="189" t="str">
        <f t="shared" si="70"/>
        <v>Channa</v>
      </c>
      <c r="B102" s="189" t="str">
        <f t="shared" si="82"/>
        <v>2410.317</v>
      </c>
      <c r="C102" s="189" t="str">
        <f t="shared" si="73"/>
        <v>2595.726</v>
      </c>
      <c r="D102" s="189" t="str">
        <f t="shared" ref="D102:H102" si="83">(C102/C$90)*D$90</f>
        <v>2781.135</v>
      </c>
      <c r="E102" s="189" t="str">
        <f t="shared" si="83"/>
        <v>2966.544</v>
      </c>
      <c r="F102" s="189" t="str">
        <f t="shared" si="83"/>
        <v>3151.953</v>
      </c>
      <c r="G102" s="189" t="str">
        <f t="shared" si="83"/>
        <v>3337.362</v>
      </c>
      <c r="H102" s="189" t="str">
        <f t="shared" si="83"/>
        <v>3522.771</v>
      </c>
    </row>
    <row r="103" ht="15.75" customHeight="1">
      <c r="A103" s="189" t="str">
        <f t="shared" si="70"/>
        <v>Jawar</v>
      </c>
      <c r="B103" s="189" t="str">
        <f t="shared" si="82"/>
        <v>344.331</v>
      </c>
      <c r="C103" s="189" t="str">
        <f t="shared" si="73"/>
        <v>370.818</v>
      </c>
      <c r="D103" s="189" t="str">
        <f t="shared" ref="D103:H103" si="84">(C103/C$90)*D$90</f>
        <v>397.305</v>
      </c>
      <c r="E103" s="189" t="str">
        <f t="shared" si="84"/>
        <v>423.792</v>
      </c>
      <c r="F103" s="189" t="str">
        <f t="shared" si="84"/>
        <v>450.279</v>
      </c>
      <c r="G103" s="189" t="str">
        <f t="shared" si="84"/>
        <v>476.766</v>
      </c>
      <c r="H103" s="189" t="str">
        <f t="shared" si="84"/>
        <v>503.253</v>
      </c>
    </row>
    <row r="104" ht="15.75" customHeight="1">
      <c r="A104" s="189" t="str">
        <f t="shared" si="70"/>
        <v>Maize</v>
      </c>
      <c r="B104" s="189" t="str">
        <f t="shared" si="82"/>
        <v>0</v>
      </c>
      <c r="C104" s="189" t="str">
        <f t="shared" si="73"/>
        <v>0</v>
      </c>
      <c r="D104" s="189" t="str">
        <f t="shared" ref="D104:H104" si="85">(C104/C$90)*D$90</f>
        <v>0</v>
      </c>
      <c r="E104" s="189" t="str">
        <f t="shared" si="85"/>
        <v>0</v>
      </c>
      <c r="F104" s="189" t="str">
        <f t="shared" si="85"/>
        <v>0</v>
      </c>
      <c r="G104" s="189" t="str">
        <f t="shared" si="85"/>
        <v>0</v>
      </c>
      <c r="H104" s="189" t="str">
        <f t="shared" si="85"/>
        <v>0</v>
      </c>
    </row>
    <row r="105" ht="15.75" customHeight="1">
      <c r="A105" s="189" t="str">
        <f t="shared" si="70"/>
        <v>Safflower</v>
      </c>
      <c r="B105" s="189" t="str">
        <f t="shared" si="82"/>
        <v>0</v>
      </c>
      <c r="C105" s="189" t="str">
        <f t="shared" si="73"/>
        <v>0</v>
      </c>
      <c r="D105" s="189" t="str">
        <f t="shared" ref="D105:H105" si="86">(C105/C$90)*D$90</f>
        <v>0</v>
      </c>
      <c r="E105" s="189" t="str">
        <f t="shared" si="86"/>
        <v>0</v>
      </c>
      <c r="F105" s="189" t="str">
        <f t="shared" si="86"/>
        <v>0</v>
      </c>
      <c r="G105" s="189" t="str">
        <f t="shared" si="86"/>
        <v>0</v>
      </c>
      <c r="H105" s="189" t="str">
        <f t="shared" si="86"/>
        <v>0</v>
      </c>
    </row>
    <row r="106" ht="15.75" customHeight="1">
      <c r="A106" s="189" t="str">
        <f t="shared" si="70"/>
        <v>Groundnut</v>
      </c>
      <c r="B106" s="189" t="str">
        <f t="shared" si="82"/>
        <v>172.1655</v>
      </c>
      <c r="C106" s="189" t="str">
        <f t="shared" si="73"/>
        <v>185.409</v>
      </c>
      <c r="D106" s="189" t="str">
        <f t="shared" ref="D106:H106" si="87">(C106/C$90)*D$90</f>
        <v>198.6525</v>
      </c>
      <c r="E106" s="189" t="str">
        <f t="shared" si="87"/>
        <v>211.896</v>
      </c>
      <c r="F106" s="189" t="str">
        <f t="shared" si="87"/>
        <v>225.1395</v>
      </c>
      <c r="G106" s="189" t="str">
        <f t="shared" si="87"/>
        <v>238.383</v>
      </c>
      <c r="H106" s="189" t="str">
        <f t="shared" si="87"/>
        <v>251.6265</v>
      </c>
    </row>
    <row r="107" ht="15.75" customHeight="1">
      <c r="A107" s="189" t="str">
        <f t="shared" si="70"/>
        <v/>
      </c>
      <c r="B107" s="189" t="str">
        <f t="shared" si="82"/>
        <v>0</v>
      </c>
      <c r="C107" s="189" t="str">
        <f t="shared" si="73"/>
        <v>0</v>
      </c>
      <c r="D107" s="189" t="str">
        <f t="shared" ref="D107:H107" si="88">(C107/C$90)*D$90</f>
        <v>0</v>
      </c>
      <c r="E107" s="189" t="str">
        <f t="shared" si="88"/>
        <v>0</v>
      </c>
      <c r="F107" s="189" t="str">
        <f t="shared" si="88"/>
        <v>0</v>
      </c>
      <c r="G107" s="189" t="str">
        <f t="shared" si="88"/>
        <v>0</v>
      </c>
      <c r="H107" s="189" t="str">
        <f t="shared" si="88"/>
        <v>0</v>
      </c>
    </row>
    <row r="108" ht="15.75" customHeight="1">
      <c r="A108" s="189" t="str">
        <f t="shared" si="70"/>
        <v/>
      </c>
      <c r="B108" s="189" t="str">
        <f t="shared" si="82"/>
        <v>0</v>
      </c>
      <c r="C108" s="189" t="str">
        <f t="shared" si="73"/>
        <v>0</v>
      </c>
      <c r="D108" s="189" t="str">
        <f t="shared" ref="D108:H108" si="89">(C108/C$90)*D$90</f>
        <v>0</v>
      </c>
      <c r="E108" s="189" t="str">
        <f t="shared" si="89"/>
        <v>0</v>
      </c>
      <c r="F108" s="189" t="str">
        <f t="shared" si="89"/>
        <v>0</v>
      </c>
      <c r="G108" s="189" t="str">
        <f t="shared" si="89"/>
        <v>0</v>
      </c>
      <c r="H108" s="189" t="str">
        <f t="shared" si="89"/>
        <v>0</v>
      </c>
    </row>
    <row r="109" ht="15.75" customHeight="1">
      <c r="A109" s="189" t="str">
        <f t="shared" si="70"/>
        <v>Soybean</v>
      </c>
      <c r="B109" s="189" t="str">
        <f t="shared" ref="B109:B110" si="91">D33*$B$90</f>
        <v>28.69425</v>
      </c>
      <c r="C109" s="189" t="str">
        <f t="shared" si="73"/>
        <v>30.9015</v>
      </c>
      <c r="D109" s="189" t="str">
        <f t="shared" ref="D109:H109" si="90">(C109/C$90)*D$90</f>
        <v>33.10875</v>
      </c>
      <c r="E109" s="189" t="str">
        <f t="shared" si="90"/>
        <v>35.316</v>
      </c>
      <c r="F109" s="189" t="str">
        <f t="shared" si="90"/>
        <v>37.52325</v>
      </c>
      <c r="G109" s="189" t="str">
        <f t="shared" si="90"/>
        <v>39.7305</v>
      </c>
      <c r="H109" s="189" t="str">
        <f t="shared" si="90"/>
        <v>41.93775</v>
      </c>
    </row>
    <row r="110" ht="15.75" customHeight="1">
      <c r="A110" s="189" t="str">
        <f t="shared" si="70"/>
        <v/>
      </c>
      <c r="B110" s="189" t="str">
        <f t="shared" si="91"/>
        <v>0</v>
      </c>
      <c r="C110" s="189" t="str">
        <f t="shared" si="73"/>
        <v>0</v>
      </c>
      <c r="D110" s="189" t="str">
        <f t="shared" ref="D110:H110" si="92">(C110/C$90)*D$90</f>
        <v>0</v>
      </c>
      <c r="E110" s="189" t="str">
        <f t="shared" si="92"/>
        <v>0</v>
      </c>
      <c r="F110" s="189" t="str">
        <f t="shared" si="92"/>
        <v>0</v>
      </c>
      <c r="G110" s="189" t="str">
        <f t="shared" si="92"/>
        <v>0</v>
      </c>
      <c r="H110" s="189" t="str">
        <f t="shared" si="92"/>
        <v>0</v>
      </c>
    </row>
    <row r="111" ht="15.75" customHeight="1">
      <c r="A111" s="189" t="str">
        <f t="shared" si="70"/>
        <v/>
      </c>
      <c r="B111" s="189" t="str">
        <f>D34*$B$90</f>
        <v>0</v>
      </c>
      <c r="C111" s="189" t="str">
        <f t="shared" si="73"/>
        <v>0</v>
      </c>
      <c r="D111" s="189" t="str">
        <f t="shared" ref="D111:H111" si="93">(C111/C$90)*D$90</f>
        <v>0</v>
      </c>
      <c r="E111" s="189" t="str">
        <f t="shared" si="93"/>
        <v>0</v>
      </c>
      <c r="F111" s="189" t="str">
        <f t="shared" si="93"/>
        <v>0</v>
      </c>
      <c r="G111" s="189" t="str">
        <f t="shared" si="93"/>
        <v>0</v>
      </c>
      <c r="H111" s="189" t="str">
        <f t="shared" si="93"/>
        <v>0</v>
      </c>
    </row>
    <row r="112" ht="15.75" customHeight="1">
      <c r="A112" s="189" t="str">
        <f t="shared" si="70"/>
        <v/>
      </c>
      <c r="B112" s="189" t="str">
        <f t="shared" ref="B112:B113" si="95">D36*$B$90</f>
        <v>0</v>
      </c>
      <c r="C112" s="189" t="str">
        <f t="shared" si="73"/>
        <v>0</v>
      </c>
      <c r="D112" s="189" t="str">
        <f t="shared" ref="D112:H112" si="94">(C112/C$90)*D$90</f>
        <v>0</v>
      </c>
      <c r="E112" s="189" t="str">
        <f t="shared" si="94"/>
        <v>0</v>
      </c>
      <c r="F112" s="189" t="str">
        <f t="shared" si="94"/>
        <v>0</v>
      </c>
      <c r="G112" s="189" t="str">
        <f t="shared" si="94"/>
        <v>0</v>
      </c>
      <c r="H112" s="189" t="str">
        <f t="shared" si="94"/>
        <v>0</v>
      </c>
    </row>
    <row r="113" ht="15.75" customHeight="1">
      <c r="A113" s="189"/>
      <c r="B113" s="189" t="str">
        <f t="shared" si="95"/>
        <v>0</v>
      </c>
      <c r="C113" s="189" t="str">
        <f t="shared" si="73"/>
        <v>0</v>
      </c>
      <c r="D113" s="189" t="str">
        <f t="shared" ref="D113:H113" si="96">(C113/C$90)*D$90</f>
        <v>0</v>
      </c>
      <c r="E113" s="189" t="str">
        <f t="shared" si="96"/>
        <v>0</v>
      </c>
      <c r="F113" s="189" t="str">
        <f t="shared" si="96"/>
        <v>0</v>
      </c>
      <c r="G113" s="189" t="str">
        <f t="shared" si="96"/>
        <v>0</v>
      </c>
      <c r="H113" s="189" t="str">
        <f t="shared" si="96"/>
        <v>0</v>
      </c>
    </row>
    <row r="114" ht="15.75" customHeight="1"/>
    <row r="115" ht="15.75" customHeight="1">
      <c r="C115" s="309"/>
      <c r="D115" s="267"/>
      <c r="E115" s="267"/>
      <c r="F115" s="267"/>
      <c r="G115" s="267"/>
      <c r="H115" s="267"/>
      <c r="I115" s="267"/>
    </row>
    <row r="116" ht="15.75" customHeight="1">
      <c r="A116" t="s">
        <v>569</v>
      </c>
      <c r="C116" s="70"/>
      <c r="D116" s="70"/>
      <c r="E116" s="70"/>
      <c r="F116" s="70"/>
      <c r="G116" s="70"/>
      <c r="H116" s="70"/>
      <c r="I116" s="70"/>
    </row>
    <row r="117" ht="15.75" customHeight="1">
      <c r="A117">
        <v>1.0</v>
      </c>
      <c r="B117" t="s">
        <v>570</v>
      </c>
    </row>
    <row r="118" ht="15.75" customHeight="1">
      <c r="A118">
        <v>2.0</v>
      </c>
      <c r="B118" t="s">
        <v>571</v>
      </c>
    </row>
    <row r="119" ht="15.75" customHeight="1">
      <c r="A119">
        <v>3.0</v>
      </c>
      <c r="B119" t="s">
        <v>572</v>
      </c>
    </row>
  </sheetData>
  <mergeCells count="12">
    <mergeCell ref="A40:A41"/>
    <mergeCell ref="A64:H64"/>
    <mergeCell ref="A90:A91"/>
    <mergeCell ref="A89:H89"/>
    <mergeCell ref="A1:H1"/>
    <mergeCell ref="A3:B3"/>
    <mergeCell ref="A11:H11"/>
    <mergeCell ref="A37:H37"/>
    <mergeCell ref="A14:A22"/>
    <mergeCell ref="A39:H39"/>
    <mergeCell ref="A65:A66"/>
    <mergeCell ref="A24:A31"/>
  </mergeCells>
  <printOptions/>
  <pageMargins bottom="0.7480314960629921" footer="0.0" header="0.0" left="0.7086614173228347" right="0.7086614173228347" top="0.7480314960629921"/>
  <pageSetup paperSize="9" orientation="landscape"/>
  <rowBreaks count="1" manualBreakCount="1">
    <brk id="38" man="1"/>
  </rowBreak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4.29"/>
    <col customWidth="1" min="2" max="2" width="23.29"/>
    <col customWidth="1" min="3" max="3" width="11.57"/>
    <col customWidth="1" min="4" max="4" width="18.86"/>
    <col customWidth="1" min="5" max="5" width="15.14"/>
    <col customWidth="1" min="6" max="7" width="15.86"/>
    <col customWidth="1" min="8" max="8" width="21.29"/>
    <col customWidth="1" min="9" max="9" width="11.43"/>
    <col customWidth="1" min="10" max="10" width="9.14"/>
    <col customWidth="1" min="11" max="26" width="8.71"/>
  </cols>
  <sheetData>
    <row r="1">
      <c r="A1" s="26" t="s">
        <v>573</v>
      </c>
    </row>
    <row r="2">
      <c r="B2" s="309"/>
    </row>
    <row r="3">
      <c r="A3" s="313" t="s">
        <v>574</v>
      </c>
      <c r="B3" s="2"/>
    </row>
    <row r="4">
      <c r="A4" s="314" t="s">
        <v>174</v>
      </c>
      <c r="B4" s="315" t="s">
        <v>185</v>
      </c>
      <c r="C4" s="316"/>
      <c r="D4" s="316"/>
      <c r="E4" s="316"/>
      <c r="F4" s="316"/>
      <c r="G4" s="316"/>
      <c r="H4" s="316"/>
    </row>
    <row r="5">
      <c r="A5" s="189" t="s">
        <v>575</v>
      </c>
      <c r="B5" s="317">
        <v>0.0</v>
      </c>
      <c r="C5" s="121"/>
      <c r="D5" s="318"/>
      <c r="E5" s="318"/>
      <c r="F5" s="318"/>
      <c r="G5" s="318"/>
      <c r="H5" s="318"/>
    </row>
    <row r="6">
      <c r="A6" s="189" t="s">
        <v>576</v>
      </c>
      <c r="B6" s="317">
        <v>0.0</v>
      </c>
      <c r="C6" s="121"/>
      <c r="D6" s="318"/>
      <c r="E6" s="318"/>
      <c r="F6" s="318"/>
      <c r="G6" s="318"/>
      <c r="H6" s="318"/>
    </row>
    <row r="7">
      <c r="A7" s="319" t="s">
        <v>89</v>
      </c>
      <c r="B7" s="319" t="str">
        <f>B5+B6</f>
        <v>0</v>
      </c>
      <c r="C7" s="59"/>
      <c r="D7" s="320"/>
      <c r="E7" s="320"/>
      <c r="F7" s="320"/>
      <c r="G7" s="320"/>
      <c r="H7" s="320"/>
    </row>
    <row r="8">
      <c r="A8" s="319" t="s">
        <v>577</v>
      </c>
      <c r="B8" s="321">
        <v>0.0</v>
      </c>
      <c r="C8" s="59"/>
      <c r="D8" s="59"/>
      <c r="E8" s="59"/>
      <c r="F8" s="59"/>
      <c r="G8" s="59"/>
      <c r="H8" s="59"/>
    </row>
    <row r="9">
      <c r="A9" s="319" t="s">
        <v>578</v>
      </c>
      <c r="B9" s="319" t="str">
        <f>B7*B8</f>
        <v>0</v>
      </c>
      <c r="C9" s="320"/>
      <c r="D9" s="320"/>
      <c r="E9" s="320"/>
      <c r="F9" s="320"/>
      <c r="G9" s="320"/>
      <c r="H9" s="320"/>
    </row>
    <row r="10">
      <c r="J10" t="s">
        <v>536</v>
      </c>
      <c r="O10" t="s">
        <v>347</v>
      </c>
      <c r="U10" t="s">
        <v>16</v>
      </c>
      <c r="Y10" t="s">
        <v>537</v>
      </c>
      <c r="Z10" t="s">
        <v>538</v>
      </c>
    </row>
    <row r="11">
      <c r="A11" s="26" t="s">
        <v>579</v>
      </c>
      <c r="I11" s="59"/>
      <c r="J11" s="59"/>
      <c r="K11" s="59"/>
      <c r="L11" s="59"/>
      <c r="M11" s="59"/>
      <c r="N11" s="59"/>
      <c r="O11" s="59"/>
      <c r="P11" s="59"/>
    </row>
    <row r="12">
      <c r="J12" s="309">
        <v>0.65</v>
      </c>
      <c r="K12" s="322" t="str">
        <f t="shared" ref="K12:N12" si="1">J12+0.05</f>
        <v>70.0%</v>
      </c>
      <c r="L12" s="322" t="str">
        <f t="shared" si="1"/>
        <v>75.0%</v>
      </c>
      <c r="M12" s="322" t="str">
        <f t="shared" si="1"/>
        <v>80.0%</v>
      </c>
      <c r="N12" s="322" t="str">
        <f t="shared" si="1"/>
        <v>85.0%</v>
      </c>
      <c r="O12" s="309">
        <v>0.4</v>
      </c>
      <c r="P12" s="309" t="str">
        <f t="shared" ref="P12:T12" si="2">O12+0.05</f>
        <v>45%</v>
      </c>
      <c r="Q12" s="309" t="str">
        <f t="shared" si="2"/>
        <v>50%</v>
      </c>
      <c r="R12" s="309" t="str">
        <f t="shared" si="2"/>
        <v>55%</v>
      </c>
      <c r="S12" s="309" t="str">
        <f t="shared" si="2"/>
        <v>60%</v>
      </c>
      <c r="T12" s="309" t="str">
        <f t="shared" si="2"/>
        <v>65%</v>
      </c>
      <c r="U12" s="309">
        <v>0.1</v>
      </c>
      <c r="V12" s="267" t="str">
        <f t="shared" ref="V12:X12" si="3">U12+0.05</f>
        <v>15.00%</v>
      </c>
      <c r="W12" s="267" t="str">
        <f t="shared" si="3"/>
        <v>20.00%</v>
      </c>
      <c r="X12" s="267" t="str">
        <f t="shared" si="3"/>
        <v>25.00%</v>
      </c>
    </row>
    <row r="13">
      <c r="A13" s="314" t="s">
        <v>540</v>
      </c>
      <c r="B13" s="314" t="s">
        <v>541</v>
      </c>
      <c r="C13" s="323" t="s">
        <v>542</v>
      </c>
      <c r="D13" s="323" t="s">
        <v>543</v>
      </c>
      <c r="E13" s="323" t="s">
        <v>544</v>
      </c>
      <c r="F13" s="323" t="s">
        <v>545</v>
      </c>
      <c r="G13" s="323" t="s">
        <v>546</v>
      </c>
      <c r="H13" s="323" t="s">
        <v>547</v>
      </c>
      <c r="O13" s="324" t="s">
        <v>177</v>
      </c>
      <c r="P13" s="324" t="s">
        <v>178</v>
      </c>
      <c r="Q13" s="324" t="s">
        <v>179</v>
      </c>
      <c r="R13" s="324" t="s">
        <v>180</v>
      </c>
      <c r="S13" s="324" t="s">
        <v>181</v>
      </c>
      <c r="T13" s="324" t="s">
        <v>177</v>
      </c>
      <c r="U13" s="324" t="s">
        <v>178</v>
      </c>
      <c r="V13" s="324" t="s">
        <v>179</v>
      </c>
      <c r="W13" s="324" t="s">
        <v>180</v>
      </c>
      <c r="X13" s="324" t="s">
        <v>181</v>
      </c>
    </row>
    <row r="14">
      <c r="A14" s="325" t="s">
        <v>548</v>
      </c>
      <c r="B14" s="317" t="s">
        <v>580</v>
      </c>
      <c r="C14" s="326">
        <v>0.25</v>
      </c>
      <c r="D14" s="189" t="str">
        <f t="shared" ref="D14:D22" si="5">$B$9*C14</f>
        <v>0</v>
      </c>
      <c r="E14" s="327">
        <v>15.0</v>
      </c>
      <c r="F14" s="189" t="str">
        <f t="shared" ref="F14:F22" si="6">D14*E14</f>
        <v>0</v>
      </c>
      <c r="G14" s="328">
        <v>0.1</v>
      </c>
      <c r="H14" s="189" t="str">
        <f t="shared" ref="H14:H22" si="7">(F14-F14*G14)</f>
        <v>0</v>
      </c>
      <c r="J14" t="str">
        <f t="shared" ref="J14:N14" si="4">$D$14*J12</f>
        <v>0</v>
      </c>
      <c r="K14" t="str">
        <f t="shared" si="4"/>
        <v>0</v>
      </c>
      <c r="L14" t="str">
        <f t="shared" si="4"/>
        <v>0</v>
      </c>
      <c r="M14" t="str">
        <f t="shared" si="4"/>
        <v>0</v>
      </c>
      <c r="N14" t="str">
        <f t="shared" si="4"/>
        <v>0</v>
      </c>
    </row>
    <row r="15">
      <c r="A15" s="20"/>
      <c r="B15" s="317" t="s">
        <v>581</v>
      </c>
      <c r="C15" s="326">
        <v>0.25</v>
      </c>
      <c r="D15" s="189" t="str">
        <f t="shared" si="5"/>
        <v>0</v>
      </c>
      <c r="E15" s="327">
        <v>26.0</v>
      </c>
      <c r="F15" s="189" t="str">
        <f t="shared" si="6"/>
        <v>0</v>
      </c>
      <c r="G15" s="328">
        <v>0.05</v>
      </c>
      <c r="H15" s="189" t="str">
        <f t="shared" si="7"/>
        <v>0</v>
      </c>
    </row>
    <row r="16">
      <c r="A16" s="20"/>
      <c r="B16" s="317" t="s">
        <v>582</v>
      </c>
      <c r="C16" s="326">
        <v>0.0</v>
      </c>
      <c r="D16" s="189" t="str">
        <f t="shared" si="5"/>
        <v>0</v>
      </c>
      <c r="E16" s="327">
        <v>0.0</v>
      </c>
      <c r="F16" s="189" t="str">
        <f t="shared" si="6"/>
        <v>0</v>
      </c>
      <c r="G16" s="328">
        <v>0.0</v>
      </c>
      <c r="H16" s="189" t="str">
        <f t="shared" si="7"/>
        <v>0</v>
      </c>
    </row>
    <row r="17">
      <c r="A17" s="20"/>
      <c r="B17" s="317" t="s">
        <v>583</v>
      </c>
      <c r="C17" s="326">
        <v>0.25</v>
      </c>
      <c r="D17" s="189" t="str">
        <f t="shared" si="5"/>
        <v>0</v>
      </c>
      <c r="E17" s="327">
        <v>7.5</v>
      </c>
      <c r="F17" s="189" t="str">
        <f t="shared" si="6"/>
        <v>0</v>
      </c>
      <c r="G17" s="328">
        <v>0.02</v>
      </c>
      <c r="H17" s="189" t="str">
        <f t="shared" si="7"/>
        <v>0</v>
      </c>
    </row>
    <row r="18">
      <c r="A18" s="20"/>
      <c r="B18" s="317" t="s">
        <v>584</v>
      </c>
      <c r="C18" s="326">
        <v>0.25</v>
      </c>
      <c r="D18" s="189" t="str">
        <f t="shared" si="5"/>
        <v>0</v>
      </c>
      <c r="E18" s="327">
        <v>2.0</v>
      </c>
      <c r="F18" s="189" t="str">
        <f t="shared" si="6"/>
        <v>0</v>
      </c>
      <c r="G18" s="328">
        <v>0.0</v>
      </c>
      <c r="H18" s="189" t="str">
        <f t="shared" si="7"/>
        <v>0</v>
      </c>
    </row>
    <row r="19">
      <c r="A19" s="20"/>
      <c r="B19" s="317"/>
      <c r="C19" s="326">
        <v>0.0</v>
      </c>
      <c r="D19" s="189" t="str">
        <f t="shared" si="5"/>
        <v>0</v>
      </c>
      <c r="E19" s="327">
        <v>0.0</v>
      </c>
      <c r="F19" s="189" t="str">
        <f t="shared" si="6"/>
        <v>0</v>
      </c>
      <c r="G19" s="328">
        <v>0.1</v>
      </c>
      <c r="H19" s="189" t="str">
        <f t="shared" si="7"/>
        <v>0</v>
      </c>
    </row>
    <row r="20">
      <c r="A20" s="20"/>
      <c r="B20" s="317"/>
      <c r="C20" s="326">
        <v>0.0</v>
      </c>
      <c r="D20" s="189" t="str">
        <f t="shared" si="5"/>
        <v>0</v>
      </c>
      <c r="E20" s="327">
        <v>0.0</v>
      </c>
      <c r="F20" s="189" t="str">
        <f t="shared" si="6"/>
        <v>0</v>
      </c>
      <c r="G20" s="328">
        <v>0.02</v>
      </c>
      <c r="H20" s="189" t="str">
        <f t="shared" si="7"/>
        <v>0</v>
      </c>
    </row>
    <row r="21" ht="15.75" customHeight="1">
      <c r="A21" s="20"/>
      <c r="B21" s="317"/>
      <c r="C21" s="326">
        <v>0.0</v>
      </c>
      <c r="D21" s="189" t="str">
        <f t="shared" si="5"/>
        <v>0</v>
      </c>
      <c r="E21" s="327"/>
      <c r="F21" s="189" t="str">
        <f t="shared" si="6"/>
        <v>0</v>
      </c>
      <c r="G21" s="328">
        <v>0.0</v>
      </c>
      <c r="H21" s="189" t="str">
        <f t="shared" si="7"/>
        <v>0</v>
      </c>
    </row>
    <row r="22" ht="15.75" customHeight="1">
      <c r="A22" s="21"/>
      <c r="B22" s="317"/>
      <c r="C22" s="326">
        <v>0.0</v>
      </c>
      <c r="D22" s="189" t="str">
        <f t="shared" si="5"/>
        <v>0</v>
      </c>
      <c r="E22" s="327"/>
      <c r="F22" s="189" t="str">
        <f t="shared" si="6"/>
        <v>0</v>
      </c>
      <c r="G22" s="328">
        <v>0.0</v>
      </c>
      <c r="H22" s="189" t="str">
        <f t="shared" si="7"/>
        <v>0</v>
      </c>
    </row>
    <row r="23" ht="15.75" customHeight="1">
      <c r="A23" s="342" t="s">
        <v>585</v>
      </c>
      <c r="B23" s="326"/>
      <c r="C23" s="317" t="str">
        <f>B9*B23</f>
        <v>0</v>
      </c>
      <c r="D23" s="189"/>
      <c r="E23" s="327"/>
      <c r="F23" s="189"/>
      <c r="G23" s="328"/>
      <c r="H23" s="189"/>
    </row>
    <row r="24" ht="15.75" customHeight="1">
      <c r="A24" s="325" t="s">
        <v>558</v>
      </c>
      <c r="B24" s="317" t="s">
        <v>580</v>
      </c>
      <c r="C24" s="326">
        <v>0.0</v>
      </c>
      <c r="D24" s="189" t="str">
        <f t="shared" ref="D24:D31" si="8">C$23*C24</f>
        <v>0</v>
      </c>
      <c r="E24" s="327">
        <v>1.0</v>
      </c>
      <c r="F24" s="189" t="str">
        <f t="shared" ref="F24:F31" si="9">D24*E24</f>
        <v>0</v>
      </c>
      <c r="G24" s="328">
        <v>0.1</v>
      </c>
      <c r="H24" s="189" t="str">
        <f t="shared" ref="H24:H31" si="10">(F24-F24*G24)</f>
        <v>0</v>
      </c>
    </row>
    <row r="25" ht="15.75" customHeight="1">
      <c r="A25" s="20"/>
      <c r="B25" s="317" t="s">
        <v>581</v>
      </c>
      <c r="C25" s="326">
        <v>0.0</v>
      </c>
      <c r="D25" s="189" t="str">
        <f t="shared" si="8"/>
        <v>0</v>
      </c>
      <c r="E25" s="327">
        <v>1.0</v>
      </c>
      <c r="F25" s="189" t="str">
        <f t="shared" si="9"/>
        <v>0</v>
      </c>
      <c r="G25" s="328">
        <v>0.1</v>
      </c>
      <c r="H25" s="189" t="str">
        <f t="shared" si="10"/>
        <v>0</v>
      </c>
    </row>
    <row r="26" ht="15.75" customHeight="1">
      <c r="A26" s="20"/>
      <c r="B26" s="317" t="s">
        <v>582</v>
      </c>
      <c r="C26" s="326">
        <v>0.0</v>
      </c>
      <c r="D26" s="189" t="str">
        <f t="shared" si="8"/>
        <v>0</v>
      </c>
      <c r="E26" s="327">
        <v>1.0</v>
      </c>
      <c r="F26" s="189" t="str">
        <f t="shared" si="9"/>
        <v>0</v>
      </c>
      <c r="G26" s="328">
        <v>0.05</v>
      </c>
      <c r="H26" s="189" t="str">
        <f t="shared" si="10"/>
        <v>0</v>
      </c>
    </row>
    <row r="27" ht="15.75" customHeight="1">
      <c r="A27" s="20"/>
      <c r="B27" s="317" t="s">
        <v>583</v>
      </c>
      <c r="C27" s="326">
        <v>0.0</v>
      </c>
      <c r="D27" s="189" t="str">
        <f t="shared" si="8"/>
        <v>0</v>
      </c>
      <c r="E27" s="327">
        <v>2.0</v>
      </c>
      <c r="F27" s="189" t="str">
        <f t="shared" si="9"/>
        <v>0</v>
      </c>
      <c r="G27" s="328">
        <v>0.0</v>
      </c>
      <c r="H27" s="189" t="str">
        <f t="shared" si="10"/>
        <v>0</v>
      </c>
    </row>
    <row r="28" ht="15.75" customHeight="1">
      <c r="A28" s="20"/>
      <c r="B28" s="317" t="s">
        <v>586</v>
      </c>
      <c r="C28" s="326">
        <v>0.0</v>
      </c>
      <c r="D28" s="189" t="str">
        <f t="shared" si="8"/>
        <v>0</v>
      </c>
      <c r="E28" s="327"/>
      <c r="F28" s="189" t="str">
        <f t="shared" si="9"/>
        <v>0</v>
      </c>
      <c r="G28" s="328">
        <v>0.0</v>
      </c>
      <c r="H28" s="189" t="str">
        <f t="shared" si="10"/>
        <v>0</v>
      </c>
    </row>
    <row r="29" ht="15.75" customHeight="1">
      <c r="A29" s="20"/>
      <c r="B29" s="317"/>
      <c r="C29" s="326">
        <v>0.0</v>
      </c>
      <c r="D29" s="189" t="str">
        <f t="shared" si="8"/>
        <v>0</v>
      </c>
      <c r="E29" s="327"/>
      <c r="F29" s="189" t="str">
        <f t="shared" si="9"/>
        <v>0</v>
      </c>
      <c r="G29" s="328">
        <v>0.0</v>
      </c>
      <c r="H29" s="189" t="str">
        <f t="shared" si="10"/>
        <v>0</v>
      </c>
    </row>
    <row r="30" ht="15.75" customHeight="1">
      <c r="A30" s="20"/>
      <c r="B30" s="317"/>
      <c r="C30" s="326">
        <v>0.0</v>
      </c>
      <c r="D30" s="189" t="str">
        <f t="shared" si="8"/>
        <v>0</v>
      </c>
      <c r="E30" s="327"/>
      <c r="F30" s="189" t="str">
        <f t="shared" si="9"/>
        <v>0</v>
      </c>
      <c r="G30" s="328">
        <v>0.0</v>
      </c>
      <c r="H30" s="189" t="str">
        <f t="shared" si="10"/>
        <v>0</v>
      </c>
    </row>
    <row r="31" ht="15.75" customHeight="1">
      <c r="A31" s="21"/>
      <c r="B31" s="317"/>
      <c r="C31" s="326">
        <v>0.0</v>
      </c>
      <c r="D31" s="189" t="str">
        <f t="shared" si="8"/>
        <v>0</v>
      </c>
      <c r="E31" s="327"/>
      <c r="F31" s="189" t="str">
        <f t="shared" si="9"/>
        <v>0</v>
      </c>
      <c r="G31" s="328">
        <v>0.0</v>
      </c>
      <c r="H31" s="189" t="str">
        <f t="shared" si="10"/>
        <v>0</v>
      </c>
    </row>
    <row r="32" ht="15.75" customHeight="1">
      <c r="A32" s="342" t="s">
        <v>587</v>
      </c>
      <c r="B32" s="326"/>
      <c r="C32" s="317" t="str">
        <f>B9*B32</f>
        <v>0</v>
      </c>
      <c r="D32" s="189"/>
      <c r="E32" s="327"/>
      <c r="F32" s="189"/>
      <c r="G32" s="328"/>
      <c r="H32" s="189"/>
    </row>
    <row r="33" ht="15.75" customHeight="1">
      <c r="A33" s="330" t="s">
        <v>564</v>
      </c>
      <c r="B33" s="317"/>
      <c r="C33" s="326">
        <v>0.0</v>
      </c>
      <c r="D33" s="189" t="str">
        <f t="shared" ref="D33:D36" si="11">C$32*C33</f>
        <v>0</v>
      </c>
      <c r="E33" s="327"/>
      <c r="F33" s="189" t="str">
        <f t="shared" ref="F33:F40" si="12">D33*E33</f>
        <v>0</v>
      </c>
      <c r="G33" s="328">
        <v>0.0</v>
      </c>
      <c r="H33" s="189" t="str">
        <f t="shared" ref="H33:H40" si="13">(F33-F33*G33)</f>
        <v>0</v>
      </c>
    </row>
    <row r="34" ht="15.75" customHeight="1">
      <c r="A34" s="18"/>
      <c r="B34" s="317"/>
      <c r="C34" s="326">
        <v>0.0</v>
      </c>
      <c r="D34" s="189" t="str">
        <f t="shared" si="11"/>
        <v>0</v>
      </c>
      <c r="E34" s="327"/>
      <c r="F34" s="189" t="str">
        <f t="shared" si="12"/>
        <v>0</v>
      </c>
      <c r="G34" s="328">
        <v>0.0</v>
      </c>
      <c r="H34" s="189" t="str">
        <f t="shared" si="13"/>
        <v>0</v>
      </c>
    </row>
    <row r="35" ht="15.75" customHeight="1">
      <c r="A35" s="18"/>
      <c r="B35" s="317"/>
      <c r="C35" s="326">
        <v>0.0</v>
      </c>
      <c r="D35" s="189" t="str">
        <f t="shared" si="11"/>
        <v>0</v>
      </c>
      <c r="E35" s="327"/>
      <c r="F35" s="189" t="str">
        <f t="shared" si="12"/>
        <v>0</v>
      </c>
      <c r="G35" s="328">
        <v>0.0</v>
      </c>
      <c r="H35" s="189" t="str">
        <f t="shared" si="13"/>
        <v>0</v>
      </c>
    </row>
    <row r="36" ht="15.75" customHeight="1">
      <c r="A36" s="331"/>
      <c r="B36" s="317"/>
      <c r="C36" s="326">
        <v>0.0</v>
      </c>
      <c r="D36" s="189" t="str">
        <f t="shared" si="11"/>
        <v>0</v>
      </c>
      <c r="E36" s="327"/>
      <c r="F36" s="189" t="str">
        <f t="shared" si="12"/>
        <v>0</v>
      </c>
      <c r="G36" s="328">
        <v>0.0</v>
      </c>
      <c r="H36" s="189" t="str">
        <f t="shared" si="13"/>
        <v>0</v>
      </c>
    </row>
    <row r="37" ht="15.75" customHeight="1">
      <c r="A37" s="343" t="s">
        <v>588</v>
      </c>
      <c r="B37" s="317" t="s">
        <v>352</v>
      </c>
      <c r="C37" s="326">
        <v>0.0</v>
      </c>
      <c r="D37" s="189" t="str">
        <f t="shared" ref="D37:D40" si="14">$B$9*C37</f>
        <v>0</v>
      </c>
      <c r="E37" s="327">
        <v>6.0</v>
      </c>
      <c r="F37" s="189" t="str">
        <f t="shared" si="12"/>
        <v>0</v>
      </c>
      <c r="G37" s="328">
        <v>0.05</v>
      </c>
      <c r="H37" s="189" t="str">
        <f t="shared" si="13"/>
        <v>0</v>
      </c>
    </row>
    <row r="38" ht="15.75" customHeight="1">
      <c r="A38" s="20"/>
      <c r="B38" s="317" t="s">
        <v>589</v>
      </c>
      <c r="C38" s="326">
        <v>0.0</v>
      </c>
      <c r="D38" s="189" t="str">
        <f t="shared" si="14"/>
        <v>0</v>
      </c>
      <c r="E38" s="327"/>
      <c r="F38" s="189" t="str">
        <f t="shared" si="12"/>
        <v>0</v>
      </c>
      <c r="G38" s="328">
        <v>0.0</v>
      </c>
      <c r="H38" s="189" t="str">
        <f t="shared" si="13"/>
        <v>0</v>
      </c>
    </row>
    <row r="39" ht="15.75" customHeight="1">
      <c r="A39" s="20"/>
      <c r="B39" s="317" t="s">
        <v>590</v>
      </c>
      <c r="C39" s="326">
        <v>0.0</v>
      </c>
      <c r="D39" s="189" t="str">
        <f t="shared" si="14"/>
        <v>0</v>
      </c>
      <c r="E39" s="327"/>
      <c r="F39" s="189" t="str">
        <f t="shared" si="12"/>
        <v>0</v>
      </c>
      <c r="G39" s="328">
        <v>0.0</v>
      </c>
      <c r="H39" s="189" t="str">
        <f t="shared" si="13"/>
        <v>0</v>
      </c>
    </row>
    <row r="40" ht="15.75" customHeight="1">
      <c r="A40" s="21"/>
      <c r="B40" s="317" t="s">
        <v>591</v>
      </c>
      <c r="C40" s="326">
        <v>0.0</v>
      </c>
      <c r="D40" s="189" t="str">
        <f t="shared" si="14"/>
        <v>0</v>
      </c>
      <c r="E40" s="327"/>
      <c r="F40" s="189" t="str">
        <f t="shared" si="12"/>
        <v>0</v>
      </c>
      <c r="G40" s="328">
        <v>0.0</v>
      </c>
      <c r="H40" s="189" t="str">
        <f t="shared" si="13"/>
        <v>0</v>
      </c>
    </row>
    <row r="41" ht="15.75" customHeight="1">
      <c r="A41" s="70" t="s">
        <v>565</v>
      </c>
    </row>
    <row r="42" ht="15.75" customHeight="1"/>
    <row r="43" ht="15.75" customHeight="1">
      <c r="A43" s="332" t="s">
        <v>592</v>
      </c>
      <c r="B43" s="5"/>
      <c r="C43" s="5"/>
      <c r="D43" s="5"/>
      <c r="E43" s="5"/>
      <c r="F43" s="5"/>
      <c r="G43" s="5"/>
      <c r="H43" s="6"/>
    </row>
    <row r="44" ht="15.75" customHeight="1">
      <c r="A44" s="333" t="s">
        <v>174</v>
      </c>
      <c r="B44" s="334">
        <v>0.35</v>
      </c>
      <c r="C44" s="334" t="str">
        <f t="shared" ref="C44:H44" si="15">B44+0.05</f>
        <v>40%</v>
      </c>
      <c r="D44" s="334" t="str">
        <f t="shared" si="15"/>
        <v>45%</v>
      </c>
      <c r="E44" s="334" t="str">
        <f t="shared" si="15"/>
        <v>50%</v>
      </c>
      <c r="F44" s="334" t="str">
        <f t="shared" si="15"/>
        <v>55%</v>
      </c>
      <c r="G44" s="334" t="str">
        <f t="shared" si="15"/>
        <v>60%</v>
      </c>
      <c r="H44" s="334" t="str">
        <f t="shared" si="15"/>
        <v>65%</v>
      </c>
    </row>
    <row r="45" ht="15.75" customHeight="1">
      <c r="A45" s="21"/>
      <c r="B45" s="315" t="s">
        <v>177</v>
      </c>
      <c r="C45" s="315" t="s">
        <v>178</v>
      </c>
      <c r="D45" s="315" t="s">
        <v>179</v>
      </c>
      <c r="E45" s="315" t="s">
        <v>180</v>
      </c>
      <c r="F45" s="315" t="s">
        <v>181</v>
      </c>
      <c r="G45" s="315" t="s">
        <v>182</v>
      </c>
      <c r="H45" s="315" t="s">
        <v>183</v>
      </c>
    </row>
    <row r="46" ht="15.75" customHeight="1">
      <c r="A46" s="189" t="str">
        <f t="shared" ref="A46:A54" si="17">B14</f>
        <v>Onion</v>
      </c>
      <c r="B46" s="189" t="str">
        <f t="shared" ref="B46:B54" si="18">H14*$B$44</f>
        <v>0</v>
      </c>
      <c r="C46" s="189" t="str">
        <f t="shared" ref="C46:H46" si="16">(B46/B$44)*C$44</f>
        <v>0</v>
      </c>
      <c r="D46" s="189" t="str">
        <f t="shared" si="16"/>
        <v>0</v>
      </c>
      <c r="E46" s="189" t="str">
        <f t="shared" si="16"/>
        <v>0</v>
      </c>
      <c r="F46" s="189" t="str">
        <f t="shared" si="16"/>
        <v>0</v>
      </c>
      <c r="G46" s="189" t="str">
        <f t="shared" si="16"/>
        <v>0</v>
      </c>
      <c r="H46" s="189" t="str">
        <f t="shared" si="16"/>
        <v>0</v>
      </c>
    </row>
    <row r="47" ht="15.75" customHeight="1">
      <c r="A47" s="189" t="str">
        <f t="shared" si="17"/>
        <v>Tomato</v>
      </c>
      <c r="B47" s="189" t="str">
        <f t="shared" si="18"/>
        <v>0</v>
      </c>
      <c r="C47" s="189" t="str">
        <f t="shared" ref="C47:H47" si="19">(B47/B$44)*C$44</f>
        <v>0</v>
      </c>
      <c r="D47" s="189" t="str">
        <f t="shared" si="19"/>
        <v>0</v>
      </c>
      <c r="E47" s="189" t="str">
        <f t="shared" si="19"/>
        <v>0</v>
      </c>
      <c r="F47" s="189" t="str">
        <f t="shared" si="19"/>
        <v>0</v>
      </c>
      <c r="G47" s="189" t="str">
        <f t="shared" si="19"/>
        <v>0</v>
      </c>
      <c r="H47" s="189" t="str">
        <f t="shared" si="19"/>
        <v>0</v>
      </c>
    </row>
    <row r="48" ht="15.75" customHeight="1">
      <c r="A48" s="189" t="str">
        <f t="shared" si="17"/>
        <v>Okra</v>
      </c>
      <c r="B48" s="189" t="str">
        <f t="shared" si="18"/>
        <v>0</v>
      </c>
      <c r="C48" s="189" t="str">
        <f t="shared" ref="C48:H48" si="20">(B48/B$44)*C$44</f>
        <v>0</v>
      </c>
      <c r="D48" s="189" t="str">
        <f t="shared" si="20"/>
        <v>0</v>
      </c>
      <c r="E48" s="189" t="str">
        <f t="shared" si="20"/>
        <v>0</v>
      </c>
      <c r="F48" s="189" t="str">
        <f t="shared" si="20"/>
        <v>0</v>
      </c>
      <c r="G48" s="189" t="str">
        <f t="shared" si="20"/>
        <v>0</v>
      </c>
      <c r="H48" s="189" t="str">
        <f t="shared" si="20"/>
        <v>0</v>
      </c>
    </row>
    <row r="49" ht="15.75" customHeight="1">
      <c r="A49" s="189" t="str">
        <f t="shared" si="17"/>
        <v>Chilli</v>
      </c>
      <c r="B49" s="189" t="str">
        <f t="shared" si="18"/>
        <v>0</v>
      </c>
      <c r="C49" s="189" t="str">
        <f t="shared" ref="C49:H49" si="21">(B49/B$44)*C$44</f>
        <v>0</v>
      </c>
      <c r="D49" s="189" t="str">
        <f t="shared" si="21"/>
        <v>0</v>
      </c>
      <c r="E49" s="189" t="str">
        <f t="shared" si="21"/>
        <v>0</v>
      </c>
      <c r="F49" s="189" t="str">
        <f t="shared" si="21"/>
        <v>0</v>
      </c>
      <c r="G49" s="189" t="str">
        <f t="shared" si="21"/>
        <v>0</v>
      </c>
      <c r="H49" s="189" t="str">
        <f t="shared" si="21"/>
        <v>0</v>
      </c>
    </row>
    <row r="50" ht="15.75" customHeight="1">
      <c r="A50" s="189" t="str">
        <f t="shared" si="17"/>
        <v>Potato</v>
      </c>
      <c r="B50" s="189" t="str">
        <f t="shared" si="18"/>
        <v>0</v>
      </c>
      <c r="C50" s="189" t="str">
        <f t="shared" ref="C50:H50" si="22">(B50/B$44)*C$44</f>
        <v>0</v>
      </c>
      <c r="D50" s="189" t="str">
        <f t="shared" si="22"/>
        <v>0</v>
      </c>
      <c r="E50" s="189" t="str">
        <f t="shared" si="22"/>
        <v>0</v>
      </c>
      <c r="F50" s="189" t="str">
        <f t="shared" si="22"/>
        <v>0</v>
      </c>
      <c r="G50" s="189" t="str">
        <f t="shared" si="22"/>
        <v>0</v>
      </c>
      <c r="H50" s="189" t="str">
        <f t="shared" si="22"/>
        <v>0</v>
      </c>
    </row>
    <row r="51" ht="15.75" customHeight="1">
      <c r="A51" s="189" t="str">
        <f t="shared" si="17"/>
        <v/>
      </c>
      <c r="B51" s="189" t="str">
        <f t="shared" si="18"/>
        <v>0</v>
      </c>
      <c r="C51" s="189" t="str">
        <f t="shared" ref="C51:H51" si="23">(B51/B$44)*C$44</f>
        <v>0</v>
      </c>
      <c r="D51" s="189" t="str">
        <f t="shared" si="23"/>
        <v>0</v>
      </c>
      <c r="E51" s="189" t="str">
        <f t="shared" si="23"/>
        <v>0</v>
      </c>
      <c r="F51" s="189" t="str">
        <f t="shared" si="23"/>
        <v>0</v>
      </c>
      <c r="G51" s="189" t="str">
        <f t="shared" si="23"/>
        <v>0</v>
      </c>
      <c r="H51" s="189" t="str">
        <f t="shared" si="23"/>
        <v>0</v>
      </c>
    </row>
    <row r="52" ht="15.75" customHeight="1">
      <c r="A52" s="189" t="str">
        <f t="shared" si="17"/>
        <v/>
      </c>
      <c r="B52" s="189" t="str">
        <f t="shared" si="18"/>
        <v>0</v>
      </c>
      <c r="C52" s="189" t="str">
        <f t="shared" ref="C52:H52" si="24">(B52/B$44)*C$44</f>
        <v>0</v>
      </c>
      <c r="D52" s="189" t="str">
        <f t="shared" si="24"/>
        <v>0</v>
      </c>
      <c r="E52" s="189" t="str">
        <f t="shared" si="24"/>
        <v>0</v>
      </c>
      <c r="F52" s="189" t="str">
        <f t="shared" si="24"/>
        <v>0</v>
      </c>
      <c r="G52" s="189" t="str">
        <f t="shared" si="24"/>
        <v>0</v>
      </c>
      <c r="H52" s="189" t="str">
        <f t="shared" si="24"/>
        <v>0</v>
      </c>
    </row>
    <row r="53" ht="15.75" customHeight="1">
      <c r="A53" s="189" t="str">
        <f t="shared" si="17"/>
        <v/>
      </c>
      <c r="B53" s="189" t="str">
        <f t="shared" si="18"/>
        <v>0</v>
      </c>
      <c r="C53" s="189" t="str">
        <f t="shared" ref="C53:H53" si="25">(B53/B$44)*C$44</f>
        <v>0</v>
      </c>
      <c r="D53" s="189" t="str">
        <f t="shared" si="25"/>
        <v>0</v>
      </c>
      <c r="E53" s="189" t="str">
        <f t="shared" si="25"/>
        <v>0</v>
      </c>
      <c r="F53" s="189" t="str">
        <f t="shared" si="25"/>
        <v>0</v>
      </c>
      <c r="G53" s="189" t="str">
        <f t="shared" si="25"/>
        <v>0</v>
      </c>
      <c r="H53" s="189" t="str">
        <f t="shared" si="25"/>
        <v>0</v>
      </c>
    </row>
    <row r="54" ht="15.75" customHeight="1">
      <c r="A54" s="189" t="str">
        <f t="shared" si="17"/>
        <v/>
      </c>
      <c r="B54" s="189" t="str">
        <f t="shared" si="18"/>
        <v>0</v>
      </c>
      <c r="C54" s="189" t="str">
        <f t="shared" ref="C54:H54" si="26">(B54/B$44)*C$44</f>
        <v>0</v>
      </c>
      <c r="D54" s="189" t="str">
        <f t="shared" si="26"/>
        <v>0</v>
      </c>
      <c r="E54" s="189" t="str">
        <f t="shared" si="26"/>
        <v>0</v>
      </c>
      <c r="F54" s="189" t="str">
        <f t="shared" si="26"/>
        <v>0</v>
      </c>
      <c r="G54" s="189" t="str">
        <f t="shared" si="26"/>
        <v>0</v>
      </c>
      <c r="H54" s="189" t="str">
        <f t="shared" si="26"/>
        <v>0</v>
      </c>
    </row>
    <row r="55" ht="15.75" customHeight="1">
      <c r="A55" s="189" t="str">
        <f t="shared" ref="A55:A62" si="28">B24</f>
        <v>Onion</v>
      </c>
      <c r="B55" s="189" t="str">
        <f t="shared" ref="B55:B62" si="29">H24*$B$44</f>
        <v>0</v>
      </c>
      <c r="C55" s="189" t="str">
        <f t="shared" ref="C55:H55" si="27">(B55/B$44)*C$44</f>
        <v>0</v>
      </c>
      <c r="D55" s="189" t="str">
        <f t="shared" si="27"/>
        <v>0</v>
      </c>
      <c r="E55" s="189" t="str">
        <f t="shared" si="27"/>
        <v>0</v>
      </c>
      <c r="F55" s="189" t="str">
        <f t="shared" si="27"/>
        <v>0</v>
      </c>
      <c r="G55" s="189" t="str">
        <f t="shared" si="27"/>
        <v>0</v>
      </c>
      <c r="H55" s="189" t="str">
        <f t="shared" si="27"/>
        <v>0</v>
      </c>
    </row>
    <row r="56" ht="15.75" customHeight="1">
      <c r="A56" s="189" t="str">
        <f t="shared" si="28"/>
        <v>Tomato</v>
      </c>
      <c r="B56" s="189" t="str">
        <f t="shared" si="29"/>
        <v>0</v>
      </c>
      <c r="C56" s="189" t="str">
        <f t="shared" ref="C56:H56" si="30">(B56/B$44)*C$44</f>
        <v>0</v>
      </c>
      <c r="D56" s="189" t="str">
        <f t="shared" si="30"/>
        <v>0</v>
      </c>
      <c r="E56" s="189" t="str">
        <f t="shared" si="30"/>
        <v>0</v>
      </c>
      <c r="F56" s="189" t="str">
        <f t="shared" si="30"/>
        <v>0</v>
      </c>
      <c r="G56" s="189" t="str">
        <f t="shared" si="30"/>
        <v>0</v>
      </c>
      <c r="H56" s="189" t="str">
        <f t="shared" si="30"/>
        <v>0</v>
      </c>
    </row>
    <row r="57" ht="15.75" customHeight="1">
      <c r="A57" s="189" t="str">
        <f t="shared" si="28"/>
        <v>Okra</v>
      </c>
      <c r="B57" s="189" t="str">
        <f t="shared" si="29"/>
        <v>0</v>
      </c>
      <c r="C57" s="189" t="str">
        <f t="shared" ref="C57:H57" si="31">(B57/B$44)*C$44</f>
        <v>0</v>
      </c>
      <c r="D57" s="189" t="str">
        <f t="shared" si="31"/>
        <v>0</v>
      </c>
      <c r="E57" s="189" t="str">
        <f t="shared" si="31"/>
        <v>0</v>
      </c>
      <c r="F57" s="189" t="str">
        <f t="shared" si="31"/>
        <v>0</v>
      </c>
      <c r="G57" s="189" t="str">
        <f t="shared" si="31"/>
        <v>0</v>
      </c>
      <c r="H57" s="189" t="str">
        <f t="shared" si="31"/>
        <v>0</v>
      </c>
    </row>
    <row r="58" ht="15.75" customHeight="1">
      <c r="A58" s="189" t="str">
        <f t="shared" si="28"/>
        <v>Chilli</v>
      </c>
      <c r="B58" s="189" t="str">
        <f t="shared" si="29"/>
        <v>0</v>
      </c>
      <c r="C58" s="189" t="str">
        <f t="shared" ref="C58:H58" si="32">(B58/B$44)*C$44</f>
        <v>0</v>
      </c>
      <c r="D58" s="189" t="str">
        <f t="shared" si="32"/>
        <v>0</v>
      </c>
      <c r="E58" s="189" t="str">
        <f t="shared" si="32"/>
        <v>0</v>
      </c>
      <c r="F58" s="189" t="str">
        <f t="shared" si="32"/>
        <v>0</v>
      </c>
      <c r="G58" s="189" t="str">
        <f t="shared" si="32"/>
        <v>0</v>
      </c>
      <c r="H58" s="189" t="str">
        <f t="shared" si="32"/>
        <v>0</v>
      </c>
    </row>
    <row r="59" ht="15.75" customHeight="1">
      <c r="A59" s="189" t="str">
        <f t="shared" si="28"/>
        <v>Brinjal</v>
      </c>
      <c r="B59" s="189" t="str">
        <f t="shared" si="29"/>
        <v>0</v>
      </c>
      <c r="C59" s="189" t="str">
        <f t="shared" ref="C59:H59" si="33">(B59/B$44)*C$44</f>
        <v>0</v>
      </c>
      <c r="D59" s="189" t="str">
        <f t="shared" si="33"/>
        <v>0</v>
      </c>
      <c r="E59" s="189" t="str">
        <f t="shared" si="33"/>
        <v>0</v>
      </c>
      <c r="F59" s="189" t="str">
        <f t="shared" si="33"/>
        <v>0</v>
      </c>
      <c r="G59" s="189" t="str">
        <f t="shared" si="33"/>
        <v>0</v>
      </c>
      <c r="H59" s="189" t="str">
        <f t="shared" si="33"/>
        <v>0</v>
      </c>
    </row>
    <row r="60" ht="15.75" customHeight="1">
      <c r="A60" s="189" t="str">
        <f t="shared" si="28"/>
        <v/>
      </c>
      <c r="B60" s="189" t="str">
        <f t="shared" si="29"/>
        <v>0</v>
      </c>
      <c r="C60" s="189" t="str">
        <f t="shared" ref="C60:H60" si="34">(B60/B$44)*C$44</f>
        <v>0</v>
      </c>
      <c r="D60" s="189" t="str">
        <f t="shared" si="34"/>
        <v>0</v>
      </c>
      <c r="E60" s="189" t="str">
        <f t="shared" si="34"/>
        <v>0</v>
      </c>
      <c r="F60" s="189" t="str">
        <f t="shared" si="34"/>
        <v>0</v>
      </c>
      <c r="G60" s="189" t="str">
        <f t="shared" si="34"/>
        <v>0</v>
      </c>
      <c r="H60" s="189" t="str">
        <f t="shared" si="34"/>
        <v>0</v>
      </c>
    </row>
    <row r="61" ht="15.75" customHeight="1">
      <c r="A61" s="189" t="str">
        <f t="shared" si="28"/>
        <v/>
      </c>
      <c r="B61" s="189" t="str">
        <f t="shared" si="29"/>
        <v>0</v>
      </c>
      <c r="C61" s="189" t="str">
        <f t="shared" ref="C61:H61" si="35">(B61/B$44)*C$44</f>
        <v>0</v>
      </c>
      <c r="D61" s="189" t="str">
        <f t="shared" si="35"/>
        <v>0</v>
      </c>
      <c r="E61" s="189" t="str">
        <f t="shared" si="35"/>
        <v>0</v>
      </c>
      <c r="F61" s="189" t="str">
        <f t="shared" si="35"/>
        <v>0</v>
      </c>
      <c r="G61" s="189" t="str">
        <f t="shared" si="35"/>
        <v>0</v>
      </c>
      <c r="H61" s="189" t="str">
        <f t="shared" si="35"/>
        <v>0</v>
      </c>
    </row>
    <row r="62" ht="15.75" customHeight="1">
      <c r="A62" s="189" t="str">
        <f t="shared" si="28"/>
        <v/>
      </c>
      <c r="B62" s="189" t="str">
        <f t="shared" si="29"/>
        <v>0</v>
      </c>
      <c r="C62" s="189" t="str">
        <f t="shared" ref="C62:H62" si="36">(B62/B$44)*C$44</f>
        <v>0</v>
      </c>
      <c r="D62" s="189" t="str">
        <f t="shared" si="36"/>
        <v>0</v>
      </c>
      <c r="E62" s="189" t="str">
        <f t="shared" si="36"/>
        <v>0</v>
      </c>
      <c r="F62" s="189" t="str">
        <f t="shared" si="36"/>
        <v>0</v>
      </c>
      <c r="G62" s="189" t="str">
        <f t="shared" si="36"/>
        <v>0</v>
      </c>
      <c r="H62" s="189" t="str">
        <f t="shared" si="36"/>
        <v>0</v>
      </c>
    </row>
    <row r="63" ht="15.75" customHeight="1">
      <c r="A63" s="189" t="str">
        <f t="shared" ref="A63:A70" si="38">B33</f>
        <v/>
      </c>
      <c r="B63" s="189" t="str">
        <f t="shared" ref="B63:B70" si="39">H33*$B$44</f>
        <v>0</v>
      </c>
      <c r="C63" s="189" t="str">
        <f t="shared" ref="C63:H63" si="37">(B63/B$44)*C$44</f>
        <v>0</v>
      </c>
      <c r="D63" s="189" t="str">
        <f t="shared" si="37"/>
        <v>0</v>
      </c>
      <c r="E63" s="189" t="str">
        <f t="shared" si="37"/>
        <v>0</v>
      </c>
      <c r="F63" s="189" t="str">
        <f t="shared" si="37"/>
        <v>0</v>
      </c>
      <c r="G63" s="189" t="str">
        <f t="shared" si="37"/>
        <v>0</v>
      </c>
      <c r="H63" s="189" t="str">
        <f t="shared" si="37"/>
        <v>0</v>
      </c>
    </row>
    <row r="64" ht="15.75" customHeight="1">
      <c r="A64" s="189" t="str">
        <f t="shared" si="38"/>
        <v/>
      </c>
      <c r="B64" s="189" t="str">
        <f t="shared" si="39"/>
        <v>0</v>
      </c>
      <c r="C64" s="189" t="str">
        <f t="shared" ref="C64:H64" si="40">(B64/B$44)*C$44</f>
        <v>0</v>
      </c>
      <c r="D64" s="189" t="str">
        <f t="shared" si="40"/>
        <v>0</v>
      </c>
      <c r="E64" s="189" t="str">
        <f t="shared" si="40"/>
        <v>0</v>
      </c>
      <c r="F64" s="189" t="str">
        <f t="shared" si="40"/>
        <v>0</v>
      </c>
      <c r="G64" s="189" t="str">
        <f t="shared" si="40"/>
        <v>0</v>
      </c>
      <c r="H64" s="189" t="str">
        <f t="shared" si="40"/>
        <v>0</v>
      </c>
    </row>
    <row r="65" ht="15.75" customHeight="1">
      <c r="A65" s="189" t="str">
        <f t="shared" si="38"/>
        <v/>
      </c>
      <c r="B65" s="189" t="str">
        <f t="shared" si="39"/>
        <v>0</v>
      </c>
      <c r="C65" s="189" t="str">
        <f t="shared" ref="C65:H65" si="41">(B65/B$44)*C$44</f>
        <v>0</v>
      </c>
      <c r="D65" s="189" t="str">
        <f t="shared" si="41"/>
        <v>0</v>
      </c>
      <c r="E65" s="189" t="str">
        <f t="shared" si="41"/>
        <v>0</v>
      </c>
      <c r="F65" s="189" t="str">
        <f t="shared" si="41"/>
        <v>0</v>
      </c>
      <c r="G65" s="189" t="str">
        <f t="shared" si="41"/>
        <v>0</v>
      </c>
      <c r="H65" s="189" t="str">
        <f t="shared" si="41"/>
        <v>0</v>
      </c>
    </row>
    <row r="66" ht="15.75" customHeight="1">
      <c r="A66" s="189" t="str">
        <f t="shared" si="38"/>
        <v/>
      </c>
      <c r="B66" s="189" t="str">
        <f t="shared" si="39"/>
        <v>0</v>
      </c>
      <c r="C66" s="189" t="str">
        <f t="shared" ref="C66:H66" si="42">(B66/B$44)*C$44</f>
        <v>0</v>
      </c>
      <c r="D66" s="189" t="str">
        <f t="shared" si="42"/>
        <v>0</v>
      </c>
      <c r="E66" s="189" t="str">
        <f t="shared" si="42"/>
        <v>0</v>
      </c>
      <c r="F66" s="189" t="str">
        <f t="shared" si="42"/>
        <v>0</v>
      </c>
      <c r="G66" s="189" t="str">
        <f t="shared" si="42"/>
        <v>0</v>
      </c>
      <c r="H66" s="189" t="str">
        <f t="shared" si="42"/>
        <v>0</v>
      </c>
    </row>
    <row r="67" ht="15.75" customHeight="1">
      <c r="A67" s="189" t="str">
        <f t="shared" si="38"/>
        <v>Pomegranate</v>
      </c>
      <c r="B67" s="189" t="str">
        <f t="shared" si="39"/>
        <v>0</v>
      </c>
      <c r="C67" s="189" t="str">
        <f t="shared" ref="C67:H67" si="43">(B67/B$44)*C$44</f>
        <v>0</v>
      </c>
      <c r="D67" s="189" t="str">
        <f t="shared" si="43"/>
        <v>0</v>
      </c>
      <c r="E67" s="189" t="str">
        <f t="shared" si="43"/>
        <v>0</v>
      </c>
      <c r="F67" s="189" t="str">
        <f t="shared" si="43"/>
        <v>0</v>
      </c>
      <c r="G67" s="189" t="str">
        <f t="shared" si="43"/>
        <v>0</v>
      </c>
      <c r="H67" s="189" t="str">
        <f t="shared" si="43"/>
        <v>0</v>
      </c>
    </row>
    <row r="68" ht="15.75" customHeight="1">
      <c r="A68" s="189" t="str">
        <f t="shared" si="38"/>
        <v>Custard Apple</v>
      </c>
      <c r="B68" s="189" t="str">
        <f t="shared" si="39"/>
        <v>0</v>
      </c>
      <c r="C68" s="189" t="str">
        <f t="shared" ref="C68:H68" si="44">(B68/B$44)*C$44</f>
        <v>0</v>
      </c>
      <c r="D68" s="189" t="str">
        <f t="shared" si="44"/>
        <v>0</v>
      </c>
      <c r="E68" s="189" t="str">
        <f t="shared" si="44"/>
        <v>0</v>
      </c>
      <c r="F68" s="189" t="str">
        <f t="shared" si="44"/>
        <v>0</v>
      </c>
      <c r="G68" s="189" t="str">
        <f t="shared" si="44"/>
        <v>0</v>
      </c>
      <c r="H68" s="189" t="str">
        <f t="shared" si="44"/>
        <v>0</v>
      </c>
    </row>
    <row r="69" ht="15.75" customHeight="1">
      <c r="A69" s="189" t="str">
        <f t="shared" si="38"/>
        <v>Guava</v>
      </c>
      <c r="B69" s="189" t="str">
        <f t="shared" si="39"/>
        <v>0</v>
      </c>
      <c r="C69" s="189" t="str">
        <f t="shared" ref="C69:H69" si="45">(B69/B$44)*C$44</f>
        <v>0</v>
      </c>
      <c r="D69" s="189" t="str">
        <f t="shared" si="45"/>
        <v>0</v>
      </c>
      <c r="E69" s="189" t="str">
        <f t="shared" si="45"/>
        <v>0</v>
      </c>
      <c r="F69" s="189" t="str">
        <f t="shared" si="45"/>
        <v>0</v>
      </c>
      <c r="G69" s="189" t="str">
        <f t="shared" si="45"/>
        <v>0</v>
      </c>
      <c r="H69" s="189" t="str">
        <f t="shared" si="45"/>
        <v>0</v>
      </c>
    </row>
    <row r="70" ht="15.75" customHeight="1">
      <c r="A70" s="189" t="str">
        <f t="shared" si="38"/>
        <v>Citrus</v>
      </c>
      <c r="B70" s="189" t="str">
        <f t="shared" si="39"/>
        <v>0</v>
      </c>
      <c r="C70" s="189" t="str">
        <f t="shared" ref="C70:H70" si="46">(B70/B$44)*C$44</f>
        <v>0</v>
      </c>
      <c r="D70" s="189" t="str">
        <f t="shared" si="46"/>
        <v>0</v>
      </c>
      <c r="E70" s="189" t="str">
        <f t="shared" si="46"/>
        <v>0</v>
      </c>
      <c r="F70" s="189" t="str">
        <f t="shared" si="46"/>
        <v>0</v>
      </c>
      <c r="G70" s="189" t="str">
        <f t="shared" si="46"/>
        <v>0</v>
      </c>
      <c r="H70" s="189" t="str">
        <f t="shared" si="46"/>
        <v>0</v>
      </c>
    </row>
    <row r="71" ht="15.75" customHeight="1">
      <c r="A71" s="335" t="s">
        <v>593</v>
      </c>
      <c r="B71" s="5"/>
      <c r="C71" s="5"/>
      <c r="D71" s="5"/>
      <c r="E71" s="5"/>
      <c r="F71" s="5"/>
      <c r="G71" s="5"/>
      <c r="H71" s="6"/>
    </row>
    <row r="72" ht="15.75" customHeight="1">
      <c r="A72" s="336" t="s">
        <v>174</v>
      </c>
      <c r="B72" s="337">
        <v>0.05</v>
      </c>
      <c r="C72" s="337" t="str">
        <f t="shared" ref="C72:H72" si="47">B72+0.05</f>
        <v>10%</v>
      </c>
      <c r="D72" s="337" t="str">
        <f t="shared" si="47"/>
        <v>15%</v>
      </c>
      <c r="E72" s="337" t="str">
        <f t="shared" si="47"/>
        <v>20%</v>
      </c>
      <c r="F72" s="337" t="str">
        <f t="shared" si="47"/>
        <v>25%</v>
      </c>
      <c r="G72" s="337" t="str">
        <f t="shared" si="47"/>
        <v>30%</v>
      </c>
      <c r="H72" s="337" t="str">
        <f t="shared" si="47"/>
        <v>35%</v>
      </c>
    </row>
    <row r="73" ht="15.75" customHeight="1">
      <c r="A73" s="21"/>
      <c r="B73" s="315" t="s">
        <v>177</v>
      </c>
      <c r="C73" s="315" t="s">
        <v>178</v>
      </c>
      <c r="D73" s="315" t="s">
        <v>179</v>
      </c>
      <c r="E73" s="315" t="s">
        <v>180</v>
      </c>
      <c r="F73" s="315" t="s">
        <v>181</v>
      </c>
      <c r="G73" s="315" t="s">
        <v>182</v>
      </c>
      <c r="H73" s="315" t="s">
        <v>183</v>
      </c>
    </row>
    <row r="74" ht="15.75" customHeight="1">
      <c r="A74" s="189" t="str">
        <f t="shared" ref="A74:A98" si="49">A46</f>
        <v>Onion</v>
      </c>
      <c r="B74" s="189" t="str">
        <f t="shared" ref="B74:H74" si="48">H14*$B$72</f>
        <v>0</v>
      </c>
      <c r="C74" s="189" t="str">
        <f t="shared" si="48"/>
        <v>0</v>
      </c>
      <c r="D74" s="189" t="str">
        <f t="shared" si="48"/>
        <v>0</v>
      </c>
      <c r="E74" s="189" t="str">
        <f t="shared" si="48"/>
        <v>0</v>
      </c>
      <c r="F74" s="189" t="str">
        <f t="shared" si="48"/>
        <v>0</v>
      </c>
      <c r="G74" s="189" t="str">
        <f t="shared" si="48"/>
        <v>0</v>
      </c>
      <c r="H74" s="189" t="str">
        <f t="shared" si="48"/>
        <v>0</v>
      </c>
      <c r="I74" s="121"/>
      <c r="J74" s="121"/>
      <c r="K74" s="121"/>
      <c r="L74" s="121"/>
      <c r="M74" s="121"/>
      <c r="N74" s="121"/>
      <c r="O74" s="121"/>
      <c r="P74" s="121"/>
      <c r="Q74" s="121"/>
      <c r="R74" s="121"/>
      <c r="S74" s="121"/>
      <c r="T74" s="121"/>
      <c r="U74" s="121"/>
      <c r="V74" s="121"/>
      <c r="W74" s="121"/>
      <c r="X74" s="121"/>
      <c r="Y74" s="121"/>
      <c r="Z74" s="121"/>
    </row>
    <row r="75" ht="15.75" customHeight="1">
      <c r="A75" s="189" t="str">
        <f t="shared" si="49"/>
        <v>Tomato</v>
      </c>
      <c r="B75" s="189" t="str">
        <f>H15*$B$72*0</f>
        <v>0</v>
      </c>
      <c r="C75" s="189" t="str">
        <f t="shared" ref="C75:H75" si="50">(B75/B72)*C72</f>
        <v>0</v>
      </c>
      <c r="D75" s="189" t="str">
        <f t="shared" si="50"/>
        <v>0</v>
      </c>
      <c r="E75" s="189" t="str">
        <f t="shared" si="50"/>
        <v>0</v>
      </c>
      <c r="F75" s="189" t="str">
        <f t="shared" si="50"/>
        <v>0</v>
      </c>
      <c r="G75" s="189" t="str">
        <f t="shared" si="50"/>
        <v>0</v>
      </c>
      <c r="H75" s="189" t="str">
        <f t="shared" si="50"/>
        <v>0</v>
      </c>
    </row>
    <row r="76" ht="15.75" customHeight="1">
      <c r="A76" s="189" t="str">
        <f t="shared" si="49"/>
        <v>Okra</v>
      </c>
      <c r="B76" s="189" t="str">
        <f>H16*$B$72</f>
        <v>0</v>
      </c>
      <c r="C76" s="189" t="str">
        <f t="shared" ref="C76:H76" si="51">(B76/B72)*C72</f>
        <v>0</v>
      </c>
      <c r="D76" s="189" t="str">
        <f t="shared" si="51"/>
        <v>0</v>
      </c>
      <c r="E76" s="189" t="str">
        <f t="shared" si="51"/>
        <v>0</v>
      </c>
      <c r="F76" s="189" t="str">
        <f t="shared" si="51"/>
        <v>0</v>
      </c>
      <c r="G76" s="189" t="str">
        <f t="shared" si="51"/>
        <v>0</v>
      </c>
      <c r="H76" s="189" t="str">
        <f t="shared" si="51"/>
        <v>0</v>
      </c>
    </row>
    <row r="77" ht="15.75" customHeight="1">
      <c r="A77" s="189" t="str">
        <f t="shared" si="49"/>
        <v>Chilli</v>
      </c>
      <c r="B77" s="189" t="str">
        <f>H17*$B$72*0</f>
        <v>0</v>
      </c>
      <c r="C77" s="189" t="str">
        <f t="shared" ref="C77:H77" si="52">(B77/B$72)*C$72</f>
        <v>0</v>
      </c>
      <c r="D77" s="189" t="str">
        <f t="shared" si="52"/>
        <v>0</v>
      </c>
      <c r="E77" s="189" t="str">
        <f t="shared" si="52"/>
        <v>0</v>
      </c>
      <c r="F77" s="189" t="str">
        <f t="shared" si="52"/>
        <v>0</v>
      </c>
      <c r="G77" s="189" t="str">
        <f t="shared" si="52"/>
        <v>0</v>
      </c>
      <c r="H77" s="189" t="str">
        <f t="shared" si="52"/>
        <v>0</v>
      </c>
    </row>
    <row r="78" ht="15.75" customHeight="1">
      <c r="A78" s="189" t="str">
        <f t="shared" si="49"/>
        <v>Potato</v>
      </c>
      <c r="B78" s="189" t="str">
        <f>H18*$B$72</f>
        <v>0</v>
      </c>
      <c r="C78" s="189" t="str">
        <f t="shared" ref="C78:H78" si="53">(B78/B$72)*C$72</f>
        <v>0</v>
      </c>
      <c r="D78" s="189" t="str">
        <f t="shared" si="53"/>
        <v>0</v>
      </c>
      <c r="E78" s="189" t="str">
        <f t="shared" si="53"/>
        <v>0</v>
      </c>
      <c r="F78" s="189" t="str">
        <f t="shared" si="53"/>
        <v>0</v>
      </c>
      <c r="G78" s="189" t="str">
        <f t="shared" si="53"/>
        <v>0</v>
      </c>
      <c r="H78" s="189" t="str">
        <f t="shared" si="53"/>
        <v>0</v>
      </c>
    </row>
    <row r="79" ht="15.75" customHeight="1">
      <c r="A79" s="189" t="str">
        <f t="shared" si="49"/>
        <v/>
      </c>
      <c r="B79" s="189" t="str">
        <f t="shared" ref="B79:B80" si="55">H19*$B$72*0</f>
        <v>0</v>
      </c>
      <c r="C79" s="189" t="str">
        <f t="shared" ref="C79:H79" si="54">(B79/B$72)*C$72</f>
        <v>0</v>
      </c>
      <c r="D79" s="189" t="str">
        <f t="shared" si="54"/>
        <v>0</v>
      </c>
      <c r="E79" s="189" t="str">
        <f t="shared" si="54"/>
        <v>0</v>
      </c>
      <c r="F79" s="189" t="str">
        <f t="shared" si="54"/>
        <v>0</v>
      </c>
      <c r="G79" s="189" t="str">
        <f t="shared" si="54"/>
        <v>0</v>
      </c>
      <c r="H79" s="189" t="str">
        <f t="shared" si="54"/>
        <v>0</v>
      </c>
    </row>
    <row r="80" ht="15.75" customHeight="1">
      <c r="A80" s="189" t="str">
        <f t="shared" si="49"/>
        <v/>
      </c>
      <c r="B80" s="189" t="str">
        <f t="shared" si="55"/>
        <v>0</v>
      </c>
      <c r="C80" s="189" t="str">
        <f t="shared" ref="C80:H80" si="56">(B80/B$72)*C$72</f>
        <v>0</v>
      </c>
      <c r="D80" s="189" t="str">
        <f t="shared" si="56"/>
        <v>0</v>
      </c>
      <c r="E80" s="189" t="str">
        <f t="shared" si="56"/>
        <v>0</v>
      </c>
      <c r="F80" s="189" t="str">
        <f t="shared" si="56"/>
        <v>0</v>
      </c>
      <c r="G80" s="189" t="str">
        <f t="shared" si="56"/>
        <v>0</v>
      </c>
      <c r="H80" s="189" t="str">
        <f t="shared" si="56"/>
        <v>0</v>
      </c>
    </row>
    <row r="81" ht="15.75" customHeight="1">
      <c r="A81" s="189" t="str">
        <f t="shared" si="49"/>
        <v/>
      </c>
      <c r="B81" s="189" t="str">
        <f t="shared" ref="B81:B82" si="58">H21*$B$72</f>
        <v>0</v>
      </c>
      <c r="C81" s="189" t="str">
        <f t="shared" ref="C81:H81" si="57">(B81/B$72)*C$72</f>
        <v>0</v>
      </c>
      <c r="D81" s="189" t="str">
        <f t="shared" si="57"/>
        <v>0</v>
      </c>
      <c r="E81" s="189" t="str">
        <f t="shared" si="57"/>
        <v>0</v>
      </c>
      <c r="F81" s="189" t="str">
        <f t="shared" si="57"/>
        <v>0</v>
      </c>
      <c r="G81" s="189" t="str">
        <f t="shared" si="57"/>
        <v>0</v>
      </c>
      <c r="H81" s="189" t="str">
        <f t="shared" si="57"/>
        <v>0</v>
      </c>
    </row>
    <row r="82" ht="15.75" customHeight="1">
      <c r="A82" s="189" t="str">
        <f t="shared" si="49"/>
        <v/>
      </c>
      <c r="B82" s="189" t="str">
        <f t="shared" si="58"/>
        <v>0</v>
      </c>
      <c r="C82" s="189" t="str">
        <f t="shared" ref="C82:H82" si="59">(B82/B$72)*C$72</f>
        <v>0</v>
      </c>
      <c r="D82" s="189" t="str">
        <f t="shared" si="59"/>
        <v>0</v>
      </c>
      <c r="E82" s="189" t="str">
        <f t="shared" si="59"/>
        <v>0</v>
      </c>
      <c r="F82" s="189" t="str">
        <f t="shared" si="59"/>
        <v>0</v>
      </c>
      <c r="G82" s="189" t="str">
        <f t="shared" si="59"/>
        <v>0</v>
      </c>
      <c r="H82" s="189" t="str">
        <f t="shared" si="59"/>
        <v>0</v>
      </c>
    </row>
    <row r="83" ht="15.75" customHeight="1">
      <c r="A83" s="189" t="str">
        <f t="shared" si="49"/>
        <v>Onion</v>
      </c>
      <c r="B83" s="189" t="str">
        <f t="shared" ref="B83:B90" si="61">H24*$B$72</f>
        <v>0</v>
      </c>
      <c r="C83" s="189" t="str">
        <f t="shared" ref="C83:H83" si="60">(B83/B$72)*C$72</f>
        <v>0</v>
      </c>
      <c r="D83" s="189" t="str">
        <f t="shared" si="60"/>
        <v>0</v>
      </c>
      <c r="E83" s="189" t="str">
        <f t="shared" si="60"/>
        <v>0</v>
      </c>
      <c r="F83" s="189" t="str">
        <f t="shared" si="60"/>
        <v>0</v>
      </c>
      <c r="G83" s="189" t="str">
        <f t="shared" si="60"/>
        <v>0</v>
      </c>
      <c r="H83" s="189" t="str">
        <f t="shared" si="60"/>
        <v>0</v>
      </c>
    </row>
    <row r="84" ht="15.75" customHeight="1">
      <c r="A84" s="189" t="str">
        <f t="shared" si="49"/>
        <v>Tomato</v>
      </c>
      <c r="B84" s="189" t="str">
        <f t="shared" si="61"/>
        <v>0</v>
      </c>
      <c r="C84" s="189" t="str">
        <f t="shared" ref="C84:H84" si="62">(B84/B$72)*C$72</f>
        <v>0</v>
      </c>
      <c r="D84" s="189" t="str">
        <f t="shared" si="62"/>
        <v>0</v>
      </c>
      <c r="E84" s="189" t="str">
        <f t="shared" si="62"/>
        <v>0</v>
      </c>
      <c r="F84" s="189" t="str">
        <f t="shared" si="62"/>
        <v>0</v>
      </c>
      <c r="G84" s="189" t="str">
        <f t="shared" si="62"/>
        <v>0</v>
      </c>
      <c r="H84" s="189" t="str">
        <f t="shared" si="62"/>
        <v>0</v>
      </c>
    </row>
    <row r="85" ht="15.75" customHeight="1">
      <c r="A85" s="189" t="str">
        <f t="shared" si="49"/>
        <v>Okra</v>
      </c>
      <c r="B85" s="189" t="str">
        <f t="shared" si="61"/>
        <v>0</v>
      </c>
      <c r="C85" s="189" t="str">
        <f t="shared" ref="C85:H85" si="63">(B85/B$72)*C$72</f>
        <v>0</v>
      </c>
      <c r="D85" s="189" t="str">
        <f t="shared" si="63"/>
        <v>0</v>
      </c>
      <c r="E85" s="189" t="str">
        <f t="shared" si="63"/>
        <v>0</v>
      </c>
      <c r="F85" s="189" t="str">
        <f t="shared" si="63"/>
        <v>0</v>
      </c>
      <c r="G85" s="189" t="str">
        <f t="shared" si="63"/>
        <v>0</v>
      </c>
      <c r="H85" s="189" t="str">
        <f t="shared" si="63"/>
        <v>0</v>
      </c>
    </row>
    <row r="86" ht="15.75" customHeight="1">
      <c r="A86" s="189" t="str">
        <f t="shared" si="49"/>
        <v>Chilli</v>
      </c>
      <c r="B86" s="189" t="str">
        <f t="shared" si="61"/>
        <v>0</v>
      </c>
      <c r="C86" s="189" t="str">
        <f t="shared" ref="C86:H86" si="64">(B86/B$72)*C$72</f>
        <v>0</v>
      </c>
      <c r="D86" s="189" t="str">
        <f t="shared" si="64"/>
        <v>0</v>
      </c>
      <c r="E86" s="189" t="str">
        <f t="shared" si="64"/>
        <v>0</v>
      </c>
      <c r="F86" s="189" t="str">
        <f t="shared" si="64"/>
        <v>0</v>
      </c>
      <c r="G86" s="189" t="str">
        <f t="shared" si="64"/>
        <v>0</v>
      </c>
      <c r="H86" s="189" t="str">
        <f t="shared" si="64"/>
        <v>0</v>
      </c>
    </row>
    <row r="87" ht="15.75" customHeight="1">
      <c r="A87" s="189" t="str">
        <f t="shared" si="49"/>
        <v>Brinjal</v>
      </c>
      <c r="B87" s="189" t="str">
        <f t="shared" si="61"/>
        <v>0</v>
      </c>
      <c r="C87" s="189" t="str">
        <f t="shared" ref="C87:H87" si="65">(B87/B$72)*C$72</f>
        <v>0</v>
      </c>
      <c r="D87" s="189" t="str">
        <f t="shared" si="65"/>
        <v>0</v>
      </c>
      <c r="E87" s="189" t="str">
        <f t="shared" si="65"/>
        <v>0</v>
      </c>
      <c r="F87" s="189" t="str">
        <f t="shared" si="65"/>
        <v>0</v>
      </c>
      <c r="G87" s="189" t="str">
        <f t="shared" si="65"/>
        <v>0</v>
      </c>
      <c r="H87" s="189" t="str">
        <f t="shared" si="65"/>
        <v>0</v>
      </c>
    </row>
    <row r="88" ht="15.75" customHeight="1">
      <c r="A88" s="189" t="str">
        <f t="shared" si="49"/>
        <v/>
      </c>
      <c r="B88" s="189" t="str">
        <f t="shared" si="61"/>
        <v>0</v>
      </c>
      <c r="C88" s="189" t="str">
        <f t="shared" ref="C88:H88" si="66">(B88/B$72)*C$72</f>
        <v>0</v>
      </c>
      <c r="D88" s="189" t="str">
        <f t="shared" si="66"/>
        <v>0</v>
      </c>
      <c r="E88" s="189" t="str">
        <f t="shared" si="66"/>
        <v>0</v>
      </c>
      <c r="F88" s="189" t="str">
        <f t="shared" si="66"/>
        <v>0</v>
      </c>
      <c r="G88" s="189" t="str">
        <f t="shared" si="66"/>
        <v>0</v>
      </c>
      <c r="H88" s="189" t="str">
        <f t="shared" si="66"/>
        <v>0</v>
      </c>
    </row>
    <row r="89" ht="15.75" customHeight="1">
      <c r="A89" s="189" t="str">
        <f t="shared" si="49"/>
        <v/>
      </c>
      <c r="B89" s="189" t="str">
        <f t="shared" si="61"/>
        <v>0</v>
      </c>
      <c r="C89" s="189" t="str">
        <f t="shared" ref="C89:H89" si="67">(B89/B$72)*C$72</f>
        <v>0</v>
      </c>
      <c r="D89" s="189" t="str">
        <f t="shared" si="67"/>
        <v>0</v>
      </c>
      <c r="E89" s="189" t="str">
        <f t="shared" si="67"/>
        <v>0</v>
      </c>
      <c r="F89" s="189" t="str">
        <f t="shared" si="67"/>
        <v>0</v>
      </c>
      <c r="G89" s="189" t="str">
        <f t="shared" si="67"/>
        <v>0</v>
      </c>
      <c r="H89" s="189" t="str">
        <f t="shared" si="67"/>
        <v>0</v>
      </c>
    </row>
    <row r="90" ht="15.75" customHeight="1">
      <c r="A90" s="189" t="str">
        <f t="shared" si="49"/>
        <v/>
      </c>
      <c r="B90" s="189" t="str">
        <f t="shared" si="61"/>
        <v>0</v>
      </c>
      <c r="C90" s="189" t="str">
        <f t="shared" ref="C90:H90" si="68">(B90/B$72)*C$72</f>
        <v>0</v>
      </c>
      <c r="D90" s="189" t="str">
        <f t="shared" si="68"/>
        <v>0</v>
      </c>
      <c r="E90" s="189" t="str">
        <f t="shared" si="68"/>
        <v>0</v>
      </c>
      <c r="F90" s="189" t="str">
        <f t="shared" si="68"/>
        <v>0</v>
      </c>
      <c r="G90" s="189" t="str">
        <f t="shared" si="68"/>
        <v>0</v>
      </c>
      <c r="H90" s="189" t="str">
        <f t="shared" si="68"/>
        <v>0</v>
      </c>
    </row>
    <row r="91" ht="15.75" customHeight="1">
      <c r="A91" s="189" t="str">
        <f t="shared" si="49"/>
        <v/>
      </c>
      <c r="B91" s="189" t="str">
        <f t="shared" ref="B91:B98" si="70">H33*$B$72</f>
        <v>0</v>
      </c>
      <c r="C91" s="189" t="str">
        <f t="shared" ref="C91:H91" si="69">(B91/B$72)*C$72</f>
        <v>0</v>
      </c>
      <c r="D91" s="189" t="str">
        <f t="shared" si="69"/>
        <v>0</v>
      </c>
      <c r="E91" s="189" t="str">
        <f t="shared" si="69"/>
        <v>0</v>
      </c>
      <c r="F91" s="189" t="str">
        <f t="shared" si="69"/>
        <v>0</v>
      </c>
      <c r="G91" s="189" t="str">
        <f t="shared" si="69"/>
        <v>0</v>
      </c>
      <c r="H91" s="189" t="str">
        <f t="shared" si="69"/>
        <v>0</v>
      </c>
    </row>
    <row r="92" ht="15.75" customHeight="1">
      <c r="A92" s="189" t="str">
        <f t="shared" si="49"/>
        <v/>
      </c>
      <c r="B92" s="189" t="str">
        <f t="shared" si="70"/>
        <v>0</v>
      </c>
      <c r="C92" s="189" t="str">
        <f t="shared" ref="C92:G92" si="71">(B92/B$72)*C$72</f>
        <v>0</v>
      </c>
      <c r="D92" s="189" t="str">
        <f t="shared" si="71"/>
        <v>0</v>
      </c>
      <c r="E92" s="189" t="str">
        <f t="shared" si="71"/>
        <v>0</v>
      </c>
      <c r="F92" s="189" t="str">
        <f t="shared" si="71"/>
        <v>0</v>
      </c>
      <c r="G92" s="189" t="str">
        <f t="shared" si="71"/>
        <v>0</v>
      </c>
      <c r="H92" s="189"/>
    </row>
    <row r="93" ht="15.75" customHeight="1">
      <c r="A93" s="189" t="str">
        <f t="shared" si="49"/>
        <v/>
      </c>
      <c r="B93" s="189" t="str">
        <f t="shared" si="70"/>
        <v>0</v>
      </c>
      <c r="C93" s="189" t="str">
        <f t="shared" ref="C93:G93" si="72">(B93/B$72)*C$72</f>
        <v>0</v>
      </c>
      <c r="D93" s="189" t="str">
        <f t="shared" si="72"/>
        <v>0</v>
      </c>
      <c r="E93" s="189" t="str">
        <f t="shared" si="72"/>
        <v>0</v>
      </c>
      <c r="F93" s="189" t="str">
        <f t="shared" si="72"/>
        <v>0</v>
      </c>
      <c r="G93" s="189" t="str">
        <f t="shared" si="72"/>
        <v>0</v>
      </c>
      <c r="H93" s="189"/>
    </row>
    <row r="94" ht="15.75" customHeight="1">
      <c r="A94" s="189" t="str">
        <f t="shared" si="49"/>
        <v/>
      </c>
      <c r="B94" s="189" t="str">
        <f t="shared" si="70"/>
        <v>0</v>
      </c>
      <c r="C94" s="189" t="str">
        <f t="shared" ref="C94:G94" si="73">(B94/B$72)*C$72</f>
        <v>0</v>
      </c>
      <c r="D94" s="189" t="str">
        <f t="shared" si="73"/>
        <v>0</v>
      </c>
      <c r="E94" s="189" t="str">
        <f t="shared" si="73"/>
        <v>0</v>
      </c>
      <c r="F94" s="189" t="str">
        <f t="shared" si="73"/>
        <v>0</v>
      </c>
      <c r="G94" s="189" t="str">
        <f t="shared" si="73"/>
        <v>0</v>
      </c>
      <c r="H94" s="189"/>
    </row>
    <row r="95" ht="15.75" customHeight="1">
      <c r="A95" s="189" t="str">
        <f t="shared" si="49"/>
        <v>Pomegranate</v>
      </c>
      <c r="B95" s="189" t="str">
        <f t="shared" si="70"/>
        <v>0</v>
      </c>
      <c r="C95" s="189" t="str">
        <f t="shared" ref="C95:H95" si="74">(B95/B$72)*C$72</f>
        <v>0</v>
      </c>
      <c r="D95" s="189" t="str">
        <f t="shared" si="74"/>
        <v>0</v>
      </c>
      <c r="E95" s="189" t="str">
        <f t="shared" si="74"/>
        <v>0</v>
      </c>
      <c r="F95" s="189" t="str">
        <f t="shared" si="74"/>
        <v>0</v>
      </c>
      <c r="G95" s="189" t="str">
        <f t="shared" si="74"/>
        <v>0</v>
      </c>
      <c r="H95" s="189" t="str">
        <f t="shared" si="74"/>
        <v>0</v>
      </c>
    </row>
    <row r="96" ht="15.75" customHeight="1">
      <c r="A96" s="189" t="str">
        <f t="shared" si="49"/>
        <v>Custard Apple</v>
      </c>
      <c r="B96" s="189" t="str">
        <f t="shared" si="70"/>
        <v>0</v>
      </c>
      <c r="C96" s="189" t="str">
        <f t="shared" ref="C96:H96" si="75">(B96/B$72)*C$72</f>
        <v>0</v>
      </c>
      <c r="D96" s="189" t="str">
        <f t="shared" si="75"/>
        <v>0</v>
      </c>
      <c r="E96" s="189" t="str">
        <f t="shared" si="75"/>
        <v>0</v>
      </c>
      <c r="F96" s="189" t="str">
        <f t="shared" si="75"/>
        <v>0</v>
      </c>
      <c r="G96" s="189" t="str">
        <f t="shared" si="75"/>
        <v>0</v>
      </c>
      <c r="H96" s="189" t="str">
        <f t="shared" si="75"/>
        <v>0</v>
      </c>
    </row>
    <row r="97" ht="15.75" customHeight="1">
      <c r="A97" s="189" t="str">
        <f t="shared" si="49"/>
        <v>Guava</v>
      </c>
      <c r="B97" s="189" t="str">
        <f t="shared" si="70"/>
        <v>0</v>
      </c>
      <c r="C97" s="189" t="str">
        <f t="shared" ref="C97:H97" si="76">(B97/B$72)*C$72</f>
        <v>0</v>
      </c>
      <c r="D97" s="189" t="str">
        <f t="shared" si="76"/>
        <v>0</v>
      </c>
      <c r="E97" s="189" t="str">
        <f t="shared" si="76"/>
        <v>0</v>
      </c>
      <c r="F97" s="189" t="str">
        <f t="shared" si="76"/>
        <v>0</v>
      </c>
      <c r="G97" s="189" t="str">
        <f t="shared" si="76"/>
        <v>0</v>
      </c>
      <c r="H97" s="189" t="str">
        <f t="shared" si="76"/>
        <v>0</v>
      </c>
    </row>
    <row r="98" ht="15.75" customHeight="1">
      <c r="A98" s="189" t="str">
        <f t="shared" si="49"/>
        <v>Citrus</v>
      </c>
      <c r="B98" s="189" t="str">
        <f t="shared" si="70"/>
        <v>0</v>
      </c>
      <c r="C98" s="189" t="str">
        <f t="shared" ref="C98:H98" si="77">(B98/B$72)*C$72</f>
        <v>0</v>
      </c>
      <c r="D98" s="189" t="str">
        <f t="shared" si="77"/>
        <v>0</v>
      </c>
      <c r="E98" s="189" t="str">
        <f t="shared" si="77"/>
        <v>0</v>
      </c>
      <c r="F98" s="189" t="str">
        <f t="shared" si="77"/>
        <v>0</v>
      </c>
      <c r="G98" s="189" t="str">
        <f t="shared" si="77"/>
        <v>0</v>
      </c>
      <c r="H98" s="189" t="str">
        <f t="shared" si="77"/>
        <v>0</v>
      </c>
      <c r="I98" s="121"/>
    </row>
    <row r="99" ht="15.75" customHeight="1">
      <c r="A99" s="335" t="s">
        <v>594</v>
      </c>
      <c r="B99" s="5"/>
      <c r="C99" s="5"/>
      <c r="D99" s="5"/>
      <c r="E99" s="5"/>
      <c r="F99" s="5"/>
      <c r="G99" s="5"/>
      <c r="H99" s="6"/>
    </row>
    <row r="100" ht="15.75" customHeight="1">
      <c r="A100" s="339" t="s">
        <v>174</v>
      </c>
      <c r="B100" s="340">
        <v>0.65</v>
      </c>
      <c r="C100" s="341" t="str">
        <f t="shared" ref="C100:H100" si="78">B100+0.05</f>
        <v>70.0%</v>
      </c>
      <c r="D100" s="341" t="str">
        <f t="shared" si="78"/>
        <v>75.0%</v>
      </c>
      <c r="E100" s="341" t="str">
        <f t="shared" si="78"/>
        <v>80.0%</v>
      </c>
      <c r="F100" s="341" t="str">
        <f t="shared" si="78"/>
        <v>85.0%</v>
      </c>
      <c r="G100" s="341" t="str">
        <f t="shared" si="78"/>
        <v>90.0%</v>
      </c>
      <c r="H100" s="341" t="str">
        <f t="shared" si="78"/>
        <v>95.0%</v>
      </c>
    </row>
    <row r="101" ht="15.75" customHeight="1">
      <c r="A101" s="21"/>
      <c r="B101" s="315" t="s">
        <v>177</v>
      </c>
      <c r="C101" s="315" t="s">
        <v>178</v>
      </c>
      <c r="D101" s="315" t="s">
        <v>179</v>
      </c>
      <c r="E101" s="315" t="s">
        <v>180</v>
      </c>
      <c r="F101" s="315" t="s">
        <v>181</v>
      </c>
      <c r="G101" s="315" t="s">
        <v>182</v>
      </c>
      <c r="H101" s="315" t="s">
        <v>183</v>
      </c>
    </row>
    <row r="102" ht="15.75" customHeight="1">
      <c r="A102" s="189" t="str">
        <f t="shared" ref="A102:A126" si="80">A74</f>
        <v>Onion</v>
      </c>
      <c r="B102" s="189" t="str">
        <f t="shared" ref="B102:B110" si="81">D14*$B$100</f>
        <v>0</v>
      </c>
      <c r="C102" s="189" t="str">
        <f t="shared" ref="C102:H102" si="79">(B102/B$100)*C$100</f>
        <v>0</v>
      </c>
      <c r="D102" s="189" t="str">
        <f t="shared" si="79"/>
        <v>0</v>
      </c>
      <c r="E102" s="189" t="str">
        <f t="shared" si="79"/>
        <v>0</v>
      </c>
      <c r="F102" s="189" t="str">
        <f t="shared" si="79"/>
        <v>0</v>
      </c>
      <c r="G102" s="189" t="str">
        <f t="shared" si="79"/>
        <v>0</v>
      </c>
      <c r="H102" s="189" t="str">
        <f t="shared" si="79"/>
        <v>0</v>
      </c>
      <c r="I102" s="121"/>
      <c r="J102" s="121"/>
      <c r="K102" s="121"/>
      <c r="L102" s="121"/>
      <c r="M102" s="121"/>
      <c r="N102" s="121"/>
      <c r="O102" s="121"/>
      <c r="P102" s="121"/>
      <c r="Q102" s="121"/>
      <c r="R102" s="121"/>
      <c r="S102" s="121"/>
      <c r="T102" s="121"/>
      <c r="U102" s="121"/>
      <c r="V102" s="121"/>
      <c r="W102" s="121"/>
      <c r="X102" s="121"/>
      <c r="Y102" s="121"/>
      <c r="Z102" s="121"/>
    </row>
    <row r="103" ht="15.75" customHeight="1">
      <c r="A103" s="189" t="str">
        <f t="shared" si="80"/>
        <v>Tomato</v>
      </c>
      <c r="B103" s="189" t="str">
        <f t="shared" si="81"/>
        <v>0</v>
      </c>
      <c r="C103" s="189" t="str">
        <f t="shared" ref="C103:C126" si="83">(B103/B$100)*C$100</f>
        <v>0</v>
      </c>
      <c r="D103" s="189" t="str">
        <f t="shared" ref="D103:H103" si="82">(C103/C100)*D100</f>
        <v>0</v>
      </c>
      <c r="E103" s="189" t="str">
        <f t="shared" si="82"/>
        <v>0</v>
      </c>
      <c r="F103" s="189" t="str">
        <f t="shared" si="82"/>
        <v>0</v>
      </c>
      <c r="G103" s="189" t="str">
        <f t="shared" si="82"/>
        <v>0</v>
      </c>
      <c r="H103" s="189" t="str">
        <f t="shared" si="82"/>
        <v>0</v>
      </c>
    </row>
    <row r="104" ht="15.75" customHeight="1">
      <c r="A104" s="189" t="str">
        <f t="shared" si="80"/>
        <v>Okra</v>
      </c>
      <c r="B104" s="189" t="str">
        <f t="shared" si="81"/>
        <v>0</v>
      </c>
      <c r="C104" s="189" t="str">
        <f t="shared" si="83"/>
        <v>0</v>
      </c>
      <c r="D104" s="189" t="str">
        <f t="shared" ref="D104:H104" si="84">(C104/C$100)*D$100</f>
        <v>0</v>
      </c>
      <c r="E104" s="189" t="str">
        <f t="shared" si="84"/>
        <v>0</v>
      </c>
      <c r="F104" s="189" t="str">
        <f t="shared" si="84"/>
        <v>0</v>
      </c>
      <c r="G104" s="189" t="str">
        <f t="shared" si="84"/>
        <v>0</v>
      </c>
      <c r="H104" s="189" t="str">
        <f t="shared" si="84"/>
        <v>0</v>
      </c>
    </row>
    <row r="105" ht="15.75" customHeight="1">
      <c r="A105" s="189" t="str">
        <f t="shared" si="80"/>
        <v>Chilli</v>
      </c>
      <c r="B105" s="189" t="str">
        <f t="shared" si="81"/>
        <v>0</v>
      </c>
      <c r="C105" s="189" t="str">
        <f t="shared" si="83"/>
        <v>0</v>
      </c>
      <c r="D105" s="189" t="str">
        <f t="shared" ref="D105:H105" si="85">(C105/C$100)*D$100</f>
        <v>0</v>
      </c>
      <c r="E105" s="189" t="str">
        <f t="shared" si="85"/>
        <v>0</v>
      </c>
      <c r="F105" s="189" t="str">
        <f t="shared" si="85"/>
        <v>0</v>
      </c>
      <c r="G105" s="189" t="str">
        <f t="shared" si="85"/>
        <v>0</v>
      </c>
      <c r="H105" s="189" t="str">
        <f t="shared" si="85"/>
        <v>0</v>
      </c>
    </row>
    <row r="106" ht="15.75" customHeight="1">
      <c r="A106" s="189" t="str">
        <f t="shared" si="80"/>
        <v>Potato</v>
      </c>
      <c r="B106" s="189" t="str">
        <f t="shared" si="81"/>
        <v>0</v>
      </c>
      <c r="C106" s="189" t="str">
        <f t="shared" si="83"/>
        <v>0</v>
      </c>
      <c r="D106" s="189" t="str">
        <f t="shared" ref="D106:H106" si="86">(C106/C$100)*D$100</f>
        <v>0</v>
      </c>
      <c r="E106" s="189" t="str">
        <f t="shared" si="86"/>
        <v>0</v>
      </c>
      <c r="F106" s="189" t="str">
        <f t="shared" si="86"/>
        <v>0</v>
      </c>
      <c r="G106" s="189" t="str">
        <f t="shared" si="86"/>
        <v>0</v>
      </c>
      <c r="H106" s="189" t="str">
        <f t="shared" si="86"/>
        <v>0</v>
      </c>
    </row>
    <row r="107" ht="15.75" customHeight="1">
      <c r="A107" s="189" t="str">
        <f t="shared" si="80"/>
        <v/>
      </c>
      <c r="B107" s="189" t="str">
        <f t="shared" si="81"/>
        <v>0</v>
      </c>
      <c r="C107" s="189" t="str">
        <f t="shared" si="83"/>
        <v>0</v>
      </c>
      <c r="D107" s="189" t="str">
        <f t="shared" ref="D107:H107" si="87">(C107/C$100)*D$100</f>
        <v>0</v>
      </c>
      <c r="E107" s="189" t="str">
        <f t="shared" si="87"/>
        <v>0</v>
      </c>
      <c r="F107" s="189" t="str">
        <f t="shared" si="87"/>
        <v>0</v>
      </c>
      <c r="G107" s="189" t="str">
        <f t="shared" si="87"/>
        <v>0</v>
      </c>
      <c r="H107" s="189" t="str">
        <f t="shared" si="87"/>
        <v>0</v>
      </c>
    </row>
    <row r="108" ht="15.75" customHeight="1">
      <c r="A108" s="189" t="str">
        <f t="shared" si="80"/>
        <v/>
      </c>
      <c r="B108" s="189" t="str">
        <f t="shared" si="81"/>
        <v>0</v>
      </c>
      <c r="C108" s="189" t="str">
        <f t="shared" si="83"/>
        <v>0</v>
      </c>
      <c r="D108" s="189" t="str">
        <f t="shared" ref="D108:H108" si="88">(C108/C$100)*D$100</f>
        <v>0</v>
      </c>
      <c r="E108" s="189" t="str">
        <f t="shared" si="88"/>
        <v>0</v>
      </c>
      <c r="F108" s="189" t="str">
        <f t="shared" si="88"/>
        <v>0</v>
      </c>
      <c r="G108" s="189" t="str">
        <f t="shared" si="88"/>
        <v>0</v>
      </c>
      <c r="H108" s="189" t="str">
        <f t="shared" si="88"/>
        <v>0</v>
      </c>
    </row>
    <row r="109" ht="15.75" customHeight="1">
      <c r="A109" s="189" t="str">
        <f t="shared" si="80"/>
        <v/>
      </c>
      <c r="B109" s="189" t="str">
        <f t="shared" si="81"/>
        <v>0</v>
      </c>
      <c r="C109" s="189" t="str">
        <f t="shared" si="83"/>
        <v>0</v>
      </c>
      <c r="D109" s="189" t="str">
        <f t="shared" ref="D109:H109" si="89">(C109/C$100)*D$100</f>
        <v>0</v>
      </c>
      <c r="E109" s="189" t="str">
        <f t="shared" si="89"/>
        <v>0</v>
      </c>
      <c r="F109" s="189" t="str">
        <f t="shared" si="89"/>
        <v>0</v>
      </c>
      <c r="G109" s="189" t="str">
        <f t="shared" si="89"/>
        <v>0</v>
      </c>
      <c r="H109" s="189" t="str">
        <f t="shared" si="89"/>
        <v>0</v>
      </c>
    </row>
    <row r="110" ht="15.75" customHeight="1">
      <c r="A110" s="189" t="str">
        <f t="shared" si="80"/>
        <v/>
      </c>
      <c r="B110" s="189" t="str">
        <f t="shared" si="81"/>
        <v>0</v>
      </c>
      <c r="C110" s="189" t="str">
        <f t="shared" si="83"/>
        <v>0</v>
      </c>
      <c r="D110" s="189" t="str">
        <f t="shared" ref="D110:H110" si="90">(C110/C$100)*D$100</f>
        <v>0</v>
      </c>
      <c r="E110" s="189" t="str">
        <f t="shared" si="90"/>
        <v>0</v>
      </c>
      <c r="F110" s="189" t="str">
        <f t="shared" si="90"/>
        <v>0</v>
      </c>
      <c r="G110" s="189" t="str">
        <f t="shared" si="90"/>
        <v>0</v>
      </c>
      <c r="H110" s="189" t="str">
        <f t="shared" si="90"/>
        <v>0</v>
      </c>
    </row>
    <row r="111" ht="15.75" customHeight="1">
      <c r="A111" s="189" t="str">
        <f t="shared" si="80"/>
        <v>Onion</v>
      </c>
      <c r="B111" s="189" t="str">
        <f t="shared" ref="B111:B118" si="92">D24*$B$100</f>
        <v>0</v>
      </c>
      <c r="C111" s="189" t="str">
        <f t="shared" si="83"/>
        <v>0</v>
      </c>
      <c r="D111" s="189" t="str">
        <f t="shared" ref="D111:H111" si="91">(C111/C$100)*D$100</f>
        <v>0</v>
      </c>
      <c r="E111" s="189" t="str">
        <f t="shared" si="91"/>
        <v>0</v>
      </c>
      <c r="F111" s="189" t="str">
        <f t="shared" si="91"/>
        <v>0</v>
      </c>
      <c r="G111" s="189" t="str">
        <f t="shared" si="91"/>
        <v>0</v>
      </c>
      <c r="H111" s="189" t="str">
        <f t="shared" si="91"/>
        <v>0</v>
      </c>
    </row>
    <row r="112" ht="15.75" customHeight="1">
      <c r="A112" s="189" t="str">
        <f t="shared" si="80"/>
        <v>Tomato</v>
      </c>
      <c r="B112" s="189" t="str">
        <f t="shared" si="92"/>
        <v>0</v>
      </c>
      <c r="C112" s="189" t="str">
        <f t="shared" si="83"/>
        <v>0</v>
      </c>
      <c r="D112" s="189" t="str">
        <f t="shared" ref="D112:H112" si="93">(C112/C$100)*D$100</f>
        <v>0</v>
      </c>
      <c r="E112" s="189" t="str">
        <f t="shared" si="93"/>
        <v>0</v>
      </c>
      <c r="F112" s="189" t="str">
        <f t="shared" si="93"/>
        <v>0</v>
      </c>
      <c r="G112" s="189" t="str">
        <f t="shared" si="93"/>
        <v>0</v>
      </c>
      <c r="H112" s="189" t="str">
        <f t="shared" si="93"/>
        <v>0</v>
      </c>
    </row>
    <row r="113" ht="15.75" customHeight="1">
      <c r="A113" s="189" t="str">
        <f t="shared" si="80"/>
        <v>Okra</v>
      </c>
      <c r="B113" s="189" t="str">
        <f t="shared" si="92"/>
        <v>0</v>
      </c>
      <c r="C113" s="189" t="str">
        <f t="shared" si="83"/>
        <v>0</v>
      </c>
      <c r="D113" s="189" t="str">
        <f t="shared" ref="D113:H113" si="94">(C113/C$100)*D$100</f>
        <v>0</v>
      </c>
      <c r="E113" s="189" t="str">
        <f t="shared" si="94"/>
        <v>0</v>
      </c>
      <c r="F113" s="189" t="str">
        <f t="shared" si="94"/>
        <v>0</v>
      </c>
      <c r="G113" s="189" t="str">
        <f t="shared" si="94"/>
        <v>0</v>
      </c>
      <c r="H113" s="189" t="str">
        <f t="shared" si="94"/>
        <v>0</v>
      </c>
    </row>
    <row r="114" ht="15.75" customHeight="1">
      <c r="A114" s="189" t="str">
        <f t="shared" si="80"/>
        <v>Chilli</v>
      </c>
      <c r="B114" s="189" t="str">
        <f t="shared" si="92"/>
        <v>0</v>
      </c>
      <c r="C114" s="189" t="str">
        <f t="shared" si="83"/>
        <v>0</v>
      </c>
      <c r="D114" s="189" t="str">
        <f t="shared" ref="D114:H114" si="95">(C114/C$100)*D$100</f>
        <v>0</v>
      </c>
      <c r="E114" s="189" t="str">
        <f t="shared" si="95"/>
        <v>0</v>
      </c>
      <c r="F114" s="189" t="str">
        <f t="shared" si="95"/>
        <v>0</v>
      </c>
      <c r="G114" s="189" t="str">
        <f t="shared" si="95"/>
        <v>0</v>
      </c>
      <c r="H114" s="189" t="str">
        <f t="shared" si="95"/>
        <v>0</v>
      </c>
    </row>
    <row r="115" ht="15.75" customHeight="1">
      <c r="A115" s="189" t="str">
        <f t="shared" si="80"/>
        <v>Brinjal</v>
      </c>
      <c r="B115" s="189" t="str">
        <f t="shared" si="92"/>
        <v>0</v>
      </c>
      <c r="C115" s="189" t="str">
        <f t="shared" si="83"/>
        <v>0</v>
      </c>
      <c r="D115" s="189" t="str">
        <f t="shared" ref="D115:H115" si="96">(C115/C$100)*D$100</f>
        <v>0</v>
      </c>
      <c r="E115" s="189" t="str">
        <f t="shared" si="96"/>
        <v>0</v>
      </c>
      <c r="F115" s="189" t="str">
        <f t="shared" si="96"/>
        <v>0</v>
      </c>
      <c r="G115" s="189" t="str">
        <f t="shared" si="96"/>
        <v>0</v>
      </c>
      <c r="H115" s="189" t="str">
        <f t="shared" si="96"/>
        <v>0</v>
      </c>
    </row>
    <row r="116" ht="15.75" customHeight="1">
      <c r="A116" s="189" t="str">
        <f t="shared" si="80"/>
        <v/>
      </c>
      <c r="B116" s="189" t="str">
        <f t="shared" si="92"/>
        <v>0</v>
      </c>
      <c r="C116" s="189" t="str">
        <f t="shared" si="83"/>
        <v>0</v>
      </c>
      <c r="D116" s="189" t="str">
        <f t="shared" ref="D116:H116" si="97">(C116/C$100)*D$100</f>
        <v>0</v>
      </c>
      <c r="E116" s="189" t="str">
        <f t="shared" si="97"/>
        <v>0</v>
      </c>
      <c r="F116" s="189" t="str">
        <f t="shared" si="97"/>
        <v>0</v>
      </c>
      <c r="G116" s="189" t="str">
        <f t="shared" si="97"/>
        <v>0</v>
      </c>
      <c r="H116" s="189" t="str">
        <f t="shared" si="97"/>
        <v>0</v>
      </c>
    </row>
    <row r="117" ht="15.75" customHeight="1">
      <c r="A117" s="189" t="str">
        <f t="shared" si="80"/>
        <v/>
      </c>
      <c r="B117" s="189" t="str">
        <f t="shared" si="92"/>
        <v>0</v>
      </c>
      <c r="C117" s="189" t="str">
        <f t="shared" si="83"/>
        <v>0</v>
      </c>
      <c r="D117" s="189" t="str">
        <f t="shared" ref="D117:H117" si="98">(C117/C$100)*D$100</f>
        <v>0</v>
      </c>
      <c r="E117" s="189" t="str">
        <f t="shared" si="98"/>
        <v>0</v>
      </c>
      <c r="F117" s="189" t="str">
        <f t="shared" si="98"/>
        <v>0</v>
      </c>
      <c r="G117" s="189" t="str">
        <f t="shared" si="98"/>
        <v>0</v>
      </c>
      <c r="H117" s="189" t="str">
        <f t="shared" si="98"/>
        <v>0</v>
      </c>
    </row>
    <row r="118" ht="15.75" customHeight="1">
      <c r="A118" s="189" t="str">
        <f t="shared" si="80"/>
        <v/>
      </c>
      <c r="B118" s="189" t="str">
        <f t="shared" si="92"/>
        <v>0</v>
      </c>
      <c r="C118" s="189" t="str">
        <f t="shared" si="83"/>
        <v>0</v>
      </c>
      <c r="D118" s="189" t="str">
        <f t="shared" ref="D118:H118" si="99">(C118/C$100)*D$100</f>
        <v>0</v>
      </c>
      <c r="E118" s="189" t="str">
        <f t="shared" si="99"/>
        <v>0</v>
      </c>
      <c r="F118" s="189" t="str">
        <f t="shared" si="99"/>
        <v>0</v>
      </c>
      <c r="G118" s="189" t="str">
        <f t="shared" si="99"/>
        <v>0</v>
      </c>
      <c r="H118" s="189" t="str">
        <f t="shared" si="99"/>
        <v>0</v>
      </c>
    </row>
    <row r="119" ht="15.75" customHeight="1">
      <c r="A119" s="189" t="str">
        <f t="shared" si="80"/>
        <v/>
      </c>
      <c r="B119" s="189" t="str">
        <f t="shared" ref="B119:B126" si="101">D33*$B$100</f>
        <v>0</v>
      </c>
      <c r="C119" s="189" t="str">
        <f t="shared" si="83"/>
        <v>0</v>
      </c>
      <c r="D119" s="189" t="str">
        <f t="shared" ref="D119:H119" si="100">(C119/C$100)*D$100</f>
        <v>0</v>
      </c>
      <c r="E119" s="189" t="str">
        <f t="shared" si="100"/>
        <v>0</v>
      </c>
      <c r="F119" s="189" t="str">
        <f t="shared" si="100"/>
        <v>0</v>
      </c>
      <c r="G119" s="189" t="str">
        <f t="shared" si="100"/>
        <v>0</v>
      </c>
      <c r="H119" s="189" t="str">
        <f t="shared" si="100"/>
        <v>0</v>
      </c>
    </row>
    <row r="120" ht="15.75" customHeight="1">
      <c r="A120" s="189" t="str">
        <f t="shared" si="80"/>
        <v/>
      </c>
      <c r="B120" s="189" t="str">
        <f t="shared" si="101"/>
        <v>0</v>
      </c>
      <c r="C120" s="189" t="str">
        <f t="shared" si="83"/>
        <v>0</v>
      </c>
      <c r="D120" s="189" t="str">
        <f t="shared" ref="D120:H120" si="102">(C120/C$100)*D$100</f>
        <v>0</v>
      </c>
      <c r="E120" s="189" t="str">
        <f t="shared" si="102"/>
        <v>0</v>
      </c>
      <c r="F120" s="189" t="str">
        <f t="shared" si="102"/>
        <v>0</v>
      </c>
      <c r="G120" s="189" t="str">
        <f t="shared" si="102"/>
        <v>0</v>
      </c>
      <c r="H120" s="189" t="str">
        <f t="shared" si="102"/>
        <v>0</v>
      </c>
    </row>
    <row r="121" ht="15.75" customHeight="1">
      <c r="A121" s="189" t="str">
        <f t="shared" si="80"/>
        <v/>
      </c>
      <c r="B121" s="189" t="str">
        <f t="shared" si="101"/>
        <v>0</v>
      </c>
      <c r="C121" s="189" t="str">
        <f t="shared" si="83"/>
        <v>0</v>
      </c>
      <c r="D121" s="189" t="str">
        <f t="shared" ref="D121:H121" si="103">(C121/C$100)*D$100</f>
        <v>0</v>
      </c>
      <c r="E121" s="189" t="str">
        <f t="shared" si="103"/>
        <v>0</v>
      </c>
      <c r="F121" s="189" t="str">
        <f t="shared" si="103"/>
        <v>0</v>
      </c>
      <c r="G121" s="189" t="str">
        <f t="shared" si="103"/>
        <v>0</v>
      </c>
      <c r="H121" s="189" t="str">
        <f t="shared" si="103"/>
        <v>0</v>
      </c>
    </row>
    <row r="122" ht="15.75" customHeight="1">
      <c r="A122" s="189" t="str">
        <f t="shared" si="80"/>
        <v/>
      </c>
      <c r="B122" s="189" t="str">
        <f t="shared" si="101"/>
        <v>0</v>
      </c>
      <c r="C122" s="189" t="str">
        <f t="shared" si="83"/>
        <v>0</v>
      </c>
      <c r="D122" s="189" t="str">
        <f t="shared" ref="D122:H122" si="104">(C122/C$100)*D$100</f>
        <v>0</v>
      </c>
      <c r="E122" s="189" t="str">
        <f t="shared" si="104"/>
        <v>0</v>
      </c>
      <c r="F122" s="189" t="str">
        <f t="shared" si="104"/>
        <v>0</v>
      </c>
      <c r="G122" s="189" t="str">
        <f t="shared" si="104"/>
        <v>0</v>
      </c>
      <c r="H122" s="189" t="str">
        <f t="shared" si="104"/>
        <v>0</v>
      </c>
    </row>
    <row r="123" ht="15.75" customHeight="1">
      <c r="A123" s="189" t="str">
        <f t="shared" si="80"/>
        <v>Pomegranate</v>
      </c>
      <c r="B123" s="189" t="str">
        <f t="shared" si="101"/>
        <v>0</v>
      </c>
      <c r="C123" s="189" t="str">
        <f t="shared" si="83"/>
        <v>0</v>
      </c>
      <c r="D123" s="189" t="str">
        <f t="shared" ref="D123:H123" si="105">(C123/C$100)*D$100</f>
        <v>0</v>
      </c>
      <c r="E123" s="189" t="str">
        <f t="shared" si="105"/>
        <v>0</v>
      </c>
      <c r="F123" s="189" t="str">
        <f t="shared" si="105"/>
        <v>0</v>
      </c>
      <c r="G123" s="189" t="str">
        <f t="shared" si="105"/>
        <v>0</v>
      </c>
      <c r="H123" s="189" t="str">
        <f t="shared" si="105"/>
        <v>0</v>
      </c>
    </row>
    <row r="124" ht="15.75" customHeight="1">
      <c r="A124" s="189" t="str">
        <f t="shared" si="80"/>
        <v>Custard Apple</v>
      </c>
      <c r="B124" s="189" t="str">
        <f t="shared" si="101"/>
        <v>0</v>
      </c>
      <c r="C124" s="189" t="str">
        <f t="shared" si="83"/>
        <v>0</v>
      </c>
      <c r="D124" s="189" t="str">
        <f t="shared" ref="D124:H124" si="106">(C124/C$100)*D$100</f>
        <v>0</v>
      </c>
      <c r="E124" s="189" t="str">
        <f t="shared" si="106"/>
        <v>0</v>
      </c>
      <c r="F124" s="189" t="str">
        <f t="shared" si="106"/>
        <v>0</v>
      </c>
      <c r="G124" s="189" t="str">
        <f t="shared" si="106"/>
        <v>0</v>
      </c>
      <c r="H124" s="189" t="str">
        <f t="shared" si="106"/>
        <v>0</v>
      </c>
    </row>
    <row r="125" ht="15.75" customHeight="1">
      <c r="A125" s="189" t="str">
        <f t="shared" si="80"/>
        <v>Guava</v>
      </c>
      <c r="B125" s="189" t="str">
        <f t="shared" si="101"/>
        <v>0</v>
      </c>
      <c r="C125" s="189" t="str">
        <f t="shared" si="83"/>
        <v>0</v>
      </c>
      <c r="D125" s="189" t="str">
        <f t="shared" ref="D125:H125" si="107">(C125/C$100)*D$100</f>
        <v>0</v>
      </c>
      <c r="E125" s="189" t="str">
        <f t="shared" si="107"/>
        <v>0</v>
      </c>
      <c r="F125" s="189" t="str">
        <f t="shared" si="107"/>
        <v>0</v>
      </c>
      <c r="G125" s="189" t="str">
        <f t="shared" si="107"/>
        <v>0</v>
      </c>
      <c r="H125" s="189" t="str">
        <f t="shared" si="107"/>
        <v>0</v>
      </c>
    </row>
    <row r="126" ht="15.75" customHeight="1">
      <c r="A126" s="189" t="str">
        <f t="shared" si="80"/>
        <v>Citrus</v>
      </c>
      <c r="B126" s="189" t="str">
        <f t="shared" si="101"/>
        <v>0</v>
      </c>
      <c r="C126" s="189" t="str">
        <f t="shared" si="83"/>
        <v>0</v>
      </c>
      <c r="D126" s="189" t="str">
        <f t="shared" ref="D126:H126" si="108">(C126/C$100)*D$100</f>
        <v>0</v>
      </c>
      <c r="E126" s="189" t="str">
        <f t="shared" si="108"/>
        <v>0</v>
      </c>
      <c r="F126" s="189" t="str">
        <f t="shared" si="108"/>
        <v>0</v>
      </c>
      <c r="G126" s="189" t="str">
        <f t="shared" si="108"/>
        <v>0</v>
      </c>
      <c r="H126" s="189" t="str">
        <f t="shared" si="108"/>
        <v>0</v>
      </c>
    </row>
    <row r="127" ht="15.75" customHeight="1"/>
    <row r="128" ht="15.75" customHeight="1">
      <c r="C128" s="309"/>
      <c r="D128" s="267"/>
      <c r="E128" s="267"/>
      <c r="F128" s="267"/>
      <c r="G128" s="267"/>
      <c r="H128" s="267"/>
      <c r="I128" s="267"/>
    </row>
    <row r="129" ht="15.75" customHeight="1">
      <c r="A129" t="s">
        <v>569</v>
      </c>
      <c r="C129" s="70"/>
      <c r="D129" s="70"/>
      <c r="E129" s="70"/>
      <c r="F129" s="70"/>
      <c r="G129" s="70"/>
      <c r="H129" s="70"/>
      <c r="I129" s="70"/>
    </row>
    <row r="130" ht="15.75" customHeight="1">
      <c r="A130">
        <v>1.0</v>
      </c>
      <c r="B130" t="s">
        <v>595</v>
      </c>
    </row>
    <row r="131" ht="15.75" customHeight="1">
      <c r="A131">
        <v>2.0</v>
      </c>
      <c r="B131" t="s">
        <v>596</v>
      </c>
    </row>
    <row r="132" ht="15.75" customHeight="1">
      <c r="A132">
        <v>3.0</v>
      </c>
      <c r="B132" t="s">
        <v>572</v>
      </c>
    </row>
  </sheetData>
  <mergeCells count="13">
    <mergeCell ref="A3:B3"/>
    <mergeCell ref="A11:H11"/>
    <mergeCell ref="A14:A22"/>
    <mergeCell ref="A24:A31"/>
    <mergeCell ref="A43:H43"/>
    <mergeCell ref="A41:H41"/>
    <mergeCell ref="A1:H1"/>
    <mergeCell ref="A44:A45"/>
    <mergeCell ref="A71:H71"/>
    <mergeCell ref="A72:A73"/>
    <mergeCell ref="A99:H99"/>
    <mergeCell ref="A100:A101"/>
    <mergeCell ref="A37:A40"/>
  </mergeCells>
  <printOptions/>
  <pageMargins bottom="0.7480314960629921" footer="0.0" header="0.0" left="0.7086614173228347" right="0.7086614173228347" top="0.7480314960629921"/>
  <pageSetup orientation="landscape"/>
  <rowBreaks count="2" manualBreakCount="2">
    <brk id="98" man="1"/>
    <brk id="41" man="1"/>
  </rowBreak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43"/>
    <col customWidth="1" min="2" max="2" width="23.43"/>
    <col customWidth="1" min="3" max="3" width="13.86"/>
    <col customWidth="1" min="4" max="5" width="15.86"/>
    <col customWidth="1" min="6" max="6" width="18.14"/>
    <col customWidth="1" min="7" max="10" width="15.86"/>
    <col customWidth="1" min="11" max="11" width="10.57"/>
    <col customWidth="1" min="12" max="12" width="8.71"/>
    <col customWidth="1" min="13" max="13" width="22.86"/>
    <col customWidth="1" min="14" max="14" width="12.86"/>
    <col customWidth="1" min="15" max="20" width="8.71"/>
  </cols>
  <sheetData>
    <row r="2">
      <c r="A2" s="26" t="s">
        <v>597</v>
      </c>
    </row>
    <row r="3">
      <c r="A3" s="26" t="s">
        <v>598</v>
      </c>
    </row>
    <row r="4">
      <c r="B4" s="110"/>
      <c r="C4" s="110"/>
      <c r="D4" s="110"/>
      <c r="E4" s="110"/>
      <c r="F4" s="45" t="s">
        <v>599</v>
      </c>
    </row>
    <row r="5">
      <c r="A5" s="110" t="s">
        <v>139</v>
      </c>
      <c r="B5" s="344">
        <v>60.0</v>
      </c>
      <c r="C5" s="110" t="s">
        <v>600</v>
      </c>
      <c r="D5" s="110"/>
      <c r="E5" s="110"/>
      <c r="F5" s="314" t="s">
        <v>601</v>
      </c>
      <c r="G5" s="314" t="s">
        <v>602</v>
      </c>
      <c r="H5" s="110"/>
    </row>
    <row r="6">
      <c r="A6" s="110" t="s">
        <v>603</v>
      </c>
      <c r="B6" s="167">
        <v>8.0</v>
      </c>
      <c r="C6" s="110"/>
      <c r="D6" s="110"/>
      <c r="E6" s="110"/>
      <c r="F6" s="189" t="s">
        <v>604</v>
      </c>
      <c r="G6" s="345">
        <v>0.03</v>
      </c>
      <c r="H6" s="110"/>
    </row>
    <row r="7">
      <c r="A7" s="110"/>
      <c r="B7" s="110"/>
      <c r="C7" s="110"/>
      <c r="D7" s="110"/>
      <c r="E7" s="110"/>
      <c r="F7" s="189" t="s">
        <v>605</v>
      </c>
      <c r="G7" s="345">
        <v>0.05</v>
      </c>
      <c r="H7" s="110"/>
    </row>
    <row r="8">
      <c r="A8" s="110" t="s">
        <v>606</v>
      </c>
      <c r="B8" s="110">
        <v>300.0</v>
      </c>
      <c r="C8" s="110"/>
      <c r="D8" s="110"/>
      <c r="E8" s="110"/>
      <c r="F8" s="189"/>
      <c r="G8" s="345"/>
      <c r="H8" s="110"/>
    </row>
    <row r="9">
      <c r="A9" s="113" t="s">
        <v>174</v>
      </c>
      <c r="B9" s="114" t="s">
        <v>177</v>
      </c>
      <c r="C9" s="114" t="s">
        <v>178</v>
      </c>
      <c r="D9" s="114" t="s">
        <v>179</v>
      </c>
      <c r="E9" s="114" t="s">
        <v>180</v>
      </c>
      <c r="F9" s="114" t="s">
        <v>181</v>
      </c>
      <c r="G9" s="114" t="s">
        <v>182</v>
      </c>
      <c r="H9" s="114" t="s">
        <v>183</v>
      </c>
    </row>
    <row r="10">
      <c r="A10" s="85" t="s">
        <v>607</v>
      </c>
      <c r="B10" s="346" t="str">
        <f t="shared" ref="B10:H10" si="1">B33/($B$5*$B$6)</f>
        <v>  89.16 </v>
      </c>
      <c r="C10" s="346" t="str">
        <f t="shared" si="1"/>
        <v>  104.02 </v>
      </c>
      <c r="D10" s="346" t="str">
        <f t="shared" si="1"/>
        <v>  118.88 </v>
      </c>
      <c r="E10" s="346" t="str">
        <f t="shared" si="1"/>
        <v>  133.74 </v>
      </c>
      <c r="F10" s="346" t="str">
        <f t="shared" si="1"/>
        <v>  148.60 </v>
      </c>
      <c r="G10" s="346" t="str">
        <f t="shared" si="1"/>
        <v>  163.46 </v>
      </c>
      <c r="H10" s="346" t="str">
        <f t="shared" si="1"/>
        <v>  178.32 </v>
      </c>
    </row>
    <row r="11">
      <c r="A11" s="347" t="str">
        <f>'10.Grain Production details'!A42</f>
        <v> Soybean</v>
      </c>
      <c r="B11" s="347" t="str">
        <f>'10.Grain Production details'!B42</f>
        <v>  22,289 </v>
      </c>
      <c r="C11" s="347" t="str">
        <f>'10.Grain Production details'!C42</f>
        <v>  26,004 </v>
      </c>
      <c r="D11" s="347" t="str">
        <f>'10.Grain Production details'!D42</f>
        <v>  29,718 </v>
      </c>
      <c r="E11" s="347" t="str">
        <f>'10.Grain Production details'!E42</f>
        <v>  33,433 </v>
      </c>
      <c r="F11" s="347" t="str">
        <f>'10.Grain Production details'!F42</f>
        <v>  37,148 </v>
      </c>
      <c r="G11" s="347" t="str">
        <f>'10.Grain Production details'!G42</f>
        <v>  40,863 </v>
      </c>
      <c r="H11" s="347" t="str">
        <f>'10.Grain Production details'!H42</f>
        <v>  44,578 </v>
      </c>
    </row>
    <row r="12">
      <c r="A12" s="347" t="str">
        <f>'10.Grain Production details'!A43</f>
        <v> Redgram</v>
      </c>
      <c r="B12" s="347" t="str">
        <f>'10.Grain Production details'!B43</f>
        <v>  1,258 </v>
      </c>
      <c r="C12" s="347" t="str">
        <f>'10.Grain Production details'!C43</f>
        <v>  1,468 </v>
      </c>
      <c r="D12" s="347" t="str">
        <f>'10.Grain Production details'!D43</f>
        <v>  1,678 </v>
      </c>
      <c r="E12" s="347" t="str">
        <f>'10.Grain Production details'!E43</f>
        <v>  1,887 </v>
      </c>
      <c r="F12" s="347" t="str">
        <f>'10.Grain Production details'!F43</f>
        <v>  2,097 </v>
      </c>
      <c r="G12" s="347" t="str">
        <f>'10.Grain Production details'!G43</f>
        <v>  2,307 </v>
      </c>
      <c r="H12" s="347" t="str">
        <f>'10.Grain Production details'!H43</f>
        <v>  2,516 </v>
      </c>
    </row>
    <row r="13">
      <c r="A13" s="347" t="str">
        <f>'10.Grain Production details'!A44</f>
        <v> Turmeric</v>
      </c>
      <c r="B13" s="347" t="str">
        <f>'10.Grain Production details'!B44</f>
        <v>  2,649 </v>
      </c>
      <c r="C13" s="347" t="str">
        <f>'10.Grain Production details'!C44</f>
        <v>  3,090 </v>
      </c>
      <c r="D13" s="347" t="str">
        <f>'10.Grain Production details'!D44</f>
        <v>  3,532 </v>
      </c>
      <c r="E13" s="347" t="str">
        <f>'10.Grain Production details'!E44</f>
        <v>  3,973 </v>
      </c>
      <c r="F13" s="347" t="str">
        <f>'10.Grain Production details'!F44</f>
        <v>  4,415 </v>
      </c>
      <c r="G13" s="347" t="str">
        <f>'10.Grain Production details'!G44</f>
        <v>  4,856 </v>
      </c>
      <c r="H13" s="347" t="str">
        <f>'10.Grain Production details'!H44</f>
        <v>  5,297 </v>
      </c>
    </row>
    <row r="14">
      <c r="A14" s="347" t="str">
        <f>'10.Grain Production details'!A45</f>
        <v> Bengalgram</v>
      </c>
      <c r="B14" s="347" t="str">
        <f>'10.Grain Production details'!B45</f>
        <v>  918 </v>
      </c>
      <c r="C14" s="347" t="str">
        <f>'10.Grain Production details'!C45</f>
        <v>  1,071 </v>
      </c>
      <c r="D14" s="347" t="str">
        <f>'10.Grain Production details'!D45</f>
        <v>  1,224 </v>
      </c>
      <c r="E14" s="347" t="str">
        <f>'10.Grain Production details'!E45</f>
        <v>  1,377 </v>
      </c>
      <c r="F14" s="347" t="str">
        <f>'10.Grain Production details'!F45</f>
        <v>  1,530 </v>
      </c>
      <c r="G14" s="347" t="str">
        <f>'10.Grain Production details'!G45</f>
        <v>  1,683 </v>
      </c>
      <c r="H14" s="347" t="str">
        <f>'10.Grain Production details'!H45</f>
        <v>  1,836 </v>
      </c>
    </row>
    <row r="15">
      <c r="A15" s="347" t="str">
        <f>'10.Grain Production details'!A46</f>
        <v> Channa</v>
      </c>
      <c r="B15" s="347" t="str">
        <f>'10.Grain Production details'!B46</f>
        <v>  -   </v>
      </c>
      <c r="C15" s="347" t="str">
        <f>'10.Grain Production details'!C46</f>
        <v>  -   </v>
      </c>
      <c r="D15" s="347" t="str">
        <f>'10.Grain Production details'!D46</f>
        <v>  -   </v>
      </c>
      <c r="E15" s="347" t="str">
        <f>'10.Grain Production details'!E46</f>
        <v>  -   </v>
      </c>
      <c r="F15" s="347" t="str">
        <f>'10.Grain Production details'!F46</f>
        <v>  -   </v>
      </c>
      <c r="G15" s="347" t="str">
        <f>'10.Grain Production details'!G46</f>
        <v>  -   </v>
      </c>
      <c r="H15" s="347" t="str">
        <f>'10.Grain Production details'!H46</f>
        <v>  -   </v>
      </c>
    </row>
    <row r="16">
      <c r="A16" s="347" t="str">
        <f>'10.Grain Production details'!A47</f>
        <v> Udid</v>
      </c>
      <c r="B16" s="347" t="str">
        <f>'10.Grain Production details'!B47</f>
        <v>  -   </v>
      </c>
      <c r="C16" s="347" t="str">
        <f>'10.Grain Production details'!C47</f>
        <v>  -   </v>
      </c>
      <c r="D16" s="347" t="str">
        <f>'10.Grain Production details'!D47</f>
        <v>  -   </v>
      </c>
      <c r="E16" s="347" t="str">
        <f>'10.Grain Production details'!E47</f>
        <v>  -   </v>
      </c>
      <c r="F16" s="347" t="str">
        <f>'10.Grain Production details'!F47</f>
        <v>  -   </v>
      </c>
      <c r="G16" s="347" t="str">
        <f>'10.Grain Production details'!G47</f>
        <v>  -   </v>
      </c>
      <c r="H16" s="347" t="str">
        <f>'10.Grain Production details'!H47</f>
        <v>  -   </v>
      </c>
    </row>
    <row r="17">
      <c r="A17" s="347" t="str">
        <f>'10.Grain Production details'!A48</f>
        <v> Bajra</v>
      </c>
      <c r="B17" s="347" t="str">
        <f>'10.Grain Production details'!B48</f>
        <v>  -   </v>
      </c>
      <c r="C17" s="347" t="str">
        <f>'10.Grain Production details'!C48</f>
        <v>  -   </v>
      </c>
      <c r="D17" s="347" t="str">
        <f>'10.Grain Production details'!D48</f>
        <v>  -   </v>
      </c>
      <c r="E17" s="347" t="str">
        <f>'10.Grain Production details'!E48</f>
        <v>  -   </v>
      </c>
      <c r="F17" s="347" t="str">
        <f>'10.Grain Production details'!F48</f>
        <v>  -   </v>
      </c>
      <c r="G17" s="347" t="str">
        <f>'10.Grain Production details'!G48</f>
        <v>  -   </v>
      </c>
      <c r="H17" s="347" t="str">
        <f>'10.Grain Production details'!H48</f>
        <v>  -   </v>
      </c>
    </row>
    <row r="18">
      <c r="A18" s="347" t="str">
        <f>'10.Grain Production details'!A49</f>
        <v> Jawar</v>
      </c>
      <c r="B18" s="347" t="str">
        <f>'10.Grain Production details'!B49</f>
        <v>  -   </v>
      </c>
      <c r="C18" s="347" t="str">
        <f>'10.Grain Production details'!C49</f>
        <v>  -   </v>
      </c>
      <c r="D18" s="347" t="str">
        <f>'10.Grain Production details'!D49</f>
        <v>  -   </v>
      </c>
      <c r="E18" s="347" t="str">
        <f>'10.Grain Production details'!E49</f>
        <v>  -   </v>
      </c>
      <c r="F18" s="347" t="str">
        <f>'10.Grain Production details'!F49</f>
        <v>  -   </v>
      </c>
      <c r="G18" s="347" t="str">
        <f>'10.Grain Production details'!G49</f>
        <v>  -   </v>
      </c>
      <c r="H18" s="347" t="str">
        <f>'10.Grain Production details'!H49</f>
        <v>  -   </v>
      </c>
    </row>
    <row r="19">
      <c r="A19" s="347" t="str">
        <f>'10.Grain Production details'!A50</f>
        <v/>
      </c>
      <c r="B19" s="347" t="str">
        <f>'10.Grain Production details'!B50</f>
        <v>  -   </v>
      </c>
      <c r="C19" s="347" t="str">
        <f>'10.Grain Production details'!C50</f>
        <v>  -   </v>
      </c>
      <c r="D19" s="347" t="str">
        <f>'10.Grain Production details'!D50</f>
        <v>  -   </v>
      </c>
      <c r="E19" s="347" t="str">
        <f>'10.Grain Production details'!E50</f>
        <v>  -   </v>
      </c>
      <c r="F19" s="347" t="str">
        <f>'10.Grain Production details'!F50</f>
        <v>  -   </v>
      </c>
      <c r="G19" s="347" t="str">
        <f>'10.Grain Production details'!G50</f>
        <v>  -   </v>
      </c>
      <c r="H19" s="347" t="str">
        <f>'10.Grain Production details'!H50</f>
        <v>  -   </v>
      </c>
    </row>
    <row r="20">
      <c r="A20" s="347" t="str">
        <f>'10.Grain Production details'!A51</f>
        <v> Wheat</v>
      </c>
      <c r="B20" s="347" t="str">
        <f>'10.Grain Production details'!B51</f>
        <v>  3,397 </v>
      </c>
      <c r="C20" s="347" t="str">
        <f>'10.Grain Production details'!C51</f>
        <v>  3,963 </v>
      </c>
      <c r="D20" s="347" t="str">
        <f>'10.Grain Production details'!D51</f>
        <v>  4,529 </v>
      </c>
      <c r="E20" s="347" t="str">
        <f>'10.Grain Production details'!E51</f>
        <v>  5,095 </v>
      </c>
      <c r="F20" s="347" t="str">
        <f>'10.Grain Production details'!F51</f>
        <v>  5,662 </v>
      </c>
      <c r="G20" s="347" t="str">
        <f>'10.Grain Production details'!G51</f>
        <v>  6,228 </v>
      </c>
      <c r="H20" s="347" t="str">
        <f>'10.Grain Production details'!H51</f>
        <v>  6,794 </v>
      </c>
    </row>
    <row r="21" ht="15.75" customHeight="1">
      <c r="A21" s="347" t="str">
        <f>'10.Grain Production details'!A52</f>
        <v> Channa</v>
      </c>
      <c r="B21" s="347" t="str">
        <f>'10.Grain Production details'!B52</f>
        <v>  10,568 </v>
      </c>
      <c r="C21" s="347" t="str">
        <f>'10.Grain Production details'!C52</f>
        <v>  12,330 </v>
      </c>
      <c r="D21" s="347" t="str">
        <f>'10.Grain Production details'!D52</f>
        <v>  14,091 </v>
      </c>
      <c r="E21" s="347" t="str">
        <f>'10.Grain Production details'!E52</f>
        <v>  15,852 </v>
      </c>
      <c r="F21" s="347" t="str">
        <f>'10.Grain Production details'!F52</f>
        <v>  17,614 </v>
      </c>
      <c r="G21" s="347" t="str">
        <f>'10.Grain Production details'!G52</f>
        <v>  19,375 </v>
      </c>
      <c r="H21" s="347" t="str">
        <f>'10.Grain Production details'!H52</f>
        <v>  21,137 </v>
      </c>
    </row>
    <row r="22" ht="15.75" customHeight="1">
      <c r="A22" s="347" t="str">
        <f>'10.Grain Production details'!A53</f>
        <v> Jawar</v>
      </c>
      <c r="B22" s="347" t="str">
        <f>'10.Grain Production details'!B53</f>
        <v>  1,233 </v>
      </c>
      <c r="C22" s="347" t="str">
        <f>'10.Grain Production details'!C53</f>
        <v>  1,439 </v>
      </c>
      <c r="D22" s="347" t="str">
        <f>'10.Grain Production details'!D53</f>
        <v>  1,644 </v>
      </c>
      <c r="E22" s="347" t="str">
        <f>'10.Grain Production details'!E53</f>
        <v>  1,850 </v>
      </c>
      <c r="F22" s="347" t="str">
        <f>'10.Grain Production details'!F53</f>
        <v>  2,055 </v>
      </c>
      <c r="G22" s="347" t="str">
        <f>'10.Grain Production details'!G53</f>
        <v>  2,261 </v>
      </c>
      <c r="H22" s="347" t="str">
        <f>'10.Grain Production details'!H53</f>
        <v>  2,466 </v>
      </c>
    </row>
    <row r="23" ht="15.75" customHeight="1">
      <c r="A23" s="347" t="str">
        <f>'10.Grain Production details'!A54</f>
        <v> Maize</v>
      </c>
      <c r="B23" s="347" t="str">
        <f>'10.Grain Production details'!B54</f>
        <v>  -   </v>
      </c>
      <c r="C23" s="347" t="str">
        <f>'10.Grain Production details'!C54</f>
        <v>  -   </v>
      </c>
      <c r="D23" s="347" t="str">
        <f>'10.Grain Production details'!D54</f>
        <v>  -   </v>
      </c>
      <c r="E23" s="347" t="str">
        <f>'10.Grain Production details'!E54</f>
        <v>  -   </v>
      </c>
      <c r="F23" s="347" t="str">
        <f>'10.Grain Production details'!F54</f>
        <v>  -   </v>
      </c>
      <c r="G23" s="347" t="str">
        <f>'10.Grain Production details'!G54</f>
        <v>  -   </v>
      </c>
      <c r="H23" s="347" t="str">
        <f>'10.Grain Production details'!H54</f>
        <v>  -   </v>
      </c>
    </row>
    <row r="24" ht="15.75" customHeight="1">
      <c r="A24" s="347" t="str">
        <f>'10.Grain Production details'!A55</f>
        <v> Safflower</v>
      </c>
      <c r="B24" s="347" t="str">
        <f>'10.Grain Production details'!B55</f>
        <v>  -   </v>
      </c>
      <c r="C24" s="347" t="str">
        <f>'10.Grain Production details'!C55</f>
        <v>  -   </v>
      </c>
      <c r="D24" s="347" t="str">
        <f>'10.Grain Production details'!D55</f>
        <v>  -   </v>
      </c>
      <c r="E24" s="347" t="str">
        <f>'10.Grain Production details'!E55</f>
        <v>  -   </v>
      </c>
      <c r="F24" s="347" t="str">
        <f>'10.Grain Production details'!F55</f>
        <v>  -   </v>
      </c>
      <c r="G24" s="347" t="str">
        <f>'10.Grain Production details'!G55</f>
        <v>  -   </v>
      </c>
      <c r="H24" s="347" t="str">
        <f>'10.Grain Production details'!H55</f>
        <v>  -   </v>
      </c>
    </row>
    <row r="25" ht="15.75" customHeight="1">
      <c r="A25" s="347" t="str">
        <f>'10.Grain Production details'!A56</f>
        <v> Groundnut</v>
      </c>
      <c r="B25" s="347" t="str">
        <f>'10.Grain Production details'!B56</f>
        <v>  393 </v>
      </c>
      <c r="C25" s="347" t="str">
        <f>'10.Grain Production details'!C56</f>
        <v>  459 </v>
      </c>
      <c r="D25" s="347" t="str">
        <f>'10.Grain Production details'!D56</f>
        <v>  524 </v>
      </c>
      <c r="E25" s="347" t="str">
        <f>'10.Grain Production details'!E56</f>
        <v>  590 </v>
      </c>
      <c r="F25" s="347" t="str">
        <f>'10.Grain Production details'!F56</f>
        <v>  656 </v>
      </c>
      <c r="G25" s="347" t="str">
        <f>'10.Grain Production details'!G56</f>
        <v>  721 </v>
      </c>
      <c r="H25" s="347" t="str">
        <f>'10.Grain Production details'!H56</f>
        <v>  787 </v>
      </c>
    </row>
    <row r="26" ht="15.75" customHeight="1">
      <c r="A26" s="347" t="str">
        <f>'10.Grain Production details'!A57</f>
        <v/>
      </c>
      <c r="B26" s="347" t="str">
        <f>'10.Grain Production details'!B57</f>
        <v>  -   </v>
      </c>
      <c r="C26" s="347" t="str">
        <f>'10.Grain Production details'!C57</f>
        <v>  -   </v>
      </c>
      <c r="D26" s="347" t="str">
        <f>'10.Grain Production details'!D57</f>
        <v>  -   </v>
      </c>
      <c r="E26" s="347" t="str">
        <f>'10.Grain Production details'!E57</f>
        <v>  -   </v>
      </c>
      <c r="F26" s="347" t="str">
        <f>'10.Grain Production details'!F57</f>
        <v>  -   </v>
      </c>
      <c r="G26" s="347" t="str">
        <f>'10.Grain Production details'!G57</f>
        <v>  -   </v>
      </c>
      <c r="H26" s="347" t="str">
        <f>'10.Grain Production details'!H57</f>
        <v>  -   </v>
      </c>
    </row>
    <row r="27" ht="15.75" customHeight="1">
      <c r="A27" s="347" t="str">
        <f>'10.Grain Production details'!A58</f>
        <v/>
      </c>
      <c r="B27" s="347" t="str">
        <f>'10.Grain Production details'!B58</f>
        <v>  -   </v>
      </c>
      <c r="C27" s="347" t="str">
        <f>'10.Grain Production details'!C58</f>
        <v>  -   </v>
      </c>
      <c r="D27" s="347" t="str">
        <f>'10.Grain Production details'!D58</f>
        <v>  -   </v>
      </c>
      <c r="E27" s="347" t="str">
        <f>'10.Grain Production details'!E58</f>
        <v>  -   </v>
      </c>
      <c r="F27" s="347" t="str">
        <f>'10.Grain Production details'!F58</f>
        <v>  -   </v>
      </c>
      <c r="G27" s="347" t="str">
        <f>'10.Grain Production details'!G58</f>
        <v>  -   </v>
      </c>
      <c r="H27" s="347" t="str">
        <f>'10.Grain Production details'!H58</f>
        <v>  -   </v>
      </c>
    </row>
    <row r="28" ht="15.75" customHeight="1">
      <c r="A28" s="347" t="str">
        <f>'10.Grain Production details'!A59</f>
        <v> Soybean</v>
      </c>
      <c r="B28" s="347" t="str">
        <f>'10.Grain Production details'!B59</f>
        <v>  92 </v>
      </c>
      <c r="C28" s="347" t="str">
        <f>'10.Grain Production details'!C59</f>
        <v>  107 </v>
      </c>
      <c r="D28" s="347" t="str">
        <f>'10.Grain Production details'!D59</f>
        <v>  122 </v>
      </c>
      <c r="E28" s="347" t="str">
        <f>'10.Grain Production details'!E59</f>
        <v>  138 </v>
      </c>
      <c r="F28" s="347" t="str">
        <f>'10.Grain Production details'!F59</f>
        <v>  153 </v>
      </c>
      <c r="G28" s="347" t="str">
        <f>'10.Grain Production details'!G59</f>
        <v>  168 </v>
      </c>
      <c r="H28" s="347" t="str">
        <f>'10.Grain Production details'!H59</f>
        <v>  184 </v>
      </c>
    </row>
    <row r="29" ht="15.75" customHeight="1">
      <c r="A29" s="347" t="str">
        <f>'10.Grain Production details'!A60</f>
        <v/>
      </c>
      <c r="B29" s="347" t="str">
        <f>'10.Grain Production details'!B60</f>
        <v>  -   </v>
      </c>
      <c r="C29" s="347" t="str">
        <f>'10.Grain Production details'!C60</f>
        <v>  -   </v>
      </c>
      <c r="D29" s="347" t="str">
        <f>'10.Grain Production details'!D60</f>
        <v>  -   </v>
      </c>
      <c r="E29" s="347" t="str">
        <f>'10.Grain Production details'!E60</f>
        <v>  -   </v>
      </c>
      <c r="F29" s="347" t="str">
        <f>'10.Grain Production details'!F60</f>
        <v>  -   </v>
      </c>
      <c r="G29" s="347" t="str">
        <f>'10.Grain Production details'!G60</f>
        <v>  -   </v>
      </c>
      <c r="H29" s="347" t="str">
        <f>'10.Grain Production details'!H60</f>
        <v>  -   </v>
      </c>
    </row>
    <row r="30" ht="15.75" customHeight="1">
      <c r="A30" s="347" t="str">
        <f>'10.Grain Production details'!A61</f>
        <v/>
      </c>
      <c r="B30" s="347" t="str">
        <f>'10.Grain Production details'!B61</f>
        <v>  -   </v>
      </c>
      <c r="C30" s="347" t="str">
        <f>'10.Grain Production details'!C61</f>
        <v>  -   </v>
      </c>
      <c r="D30" s="347" t="str">
        <f>'10.Grain Production details'!D61</f>
        <v>  -   </v>
      </c>
      <c r="E30" s="347" t="str">
        <f>'10.Grain Production details'!E61</f>
        <v>  -   </v>
      </c>
      <c r="F30" s="347" t="str">
        <f>'10.Grain Production details'!F61</f>
        <v>  -   </v>
      </c>
      <c r="G30" s="347" t="str">
        <f>'10.Grain Production details'!G61</f>
        <v>  -   </v>
      </c>
      <c r="H30" s="347" t="str">
        <f>'10.Grain Production details'!H61</f>
        <v>  -   </v>
      </c>
    </row>
    <row r="31" ht="15.75" customHeight="1">
      <c r="A31" s="347" t="str">
        <f>'10.Grain Production details'!A62</f>
        <v/>
      </c>
      <c r="B31" s="347" t="str">
        <f>'10.Grain Production details'!B62</f>
        <v>  -   </v>
      </c>
      <c r="C31" s="347" t="str">
        <f>'10.Grain Production details'!C62</f>
        <v>  -   </v>
      </c>
      <c r="D31" s="347" t="str">
        <f>'10.Grain Production details'!D62</f>
        <v>  -   </v>
      </c>
      <c r="E31" s="347" t="str">
        <f>'10.Grain Production details'!E62</f>
        <v>  -   </v>
      </c>
      <c r="F31" s="347" t="str">
        <f>'10.Grain Production details'!F62</f>
        <v>  -   </v>
      </c>
      <c r="G31" s="347" t="str">
        <f>'10.Grain Production details'!G62</f>
        <v>  -   </v>
      </c>
      <c r="H31" s="347" t="str">
        <f>'10.Grain Production details'!H62</f>
        <v>  -   </v>
      </c>
    </row>
    <row r="32" ht="15.75" customHeight="1">
      <c r="A32" s="347" t="str">
        <f>'10.Grain Production details'!B63</f>
        <v/>
      </c>
      <c r="B32" s="347" t="str">
        <f>'10.Grain Production details'!C63</f>
        <v/>
      </c>
      <c r="C32" s="347" t="str">
        <f>'10.Grain Production details'!D63</f>
        <v/>
      </c>
      <c r="D32" s="347" t="str">
        <f>'10.Grain Production details'!E63</f>
        <v/>
      </c>
      <c r="E32" s="347" t="str">
        <f>'10.Grain Production details'!F63</f>
        <v/>
      </c>
      <c r="F32" s="347" t="str">
        <f>'10.Grain Production details'!G63</f>
        <v/>
      </c>
      <c r="G32" s="347" t="str">
        <f>'10.Grain Production details'!H63</f>
        <v/>
      </c>
      <c r="H32" s="347" t="str">
        <f>'10.Grain Production details'!I63</f>
        <v/>
      </c>
    </row>
    <row r="33" ht="15.75" customHeight="1">
      <c r="A33" s="117" t="s">
        <v>608</v>
      </c>
      <c r="B33" s="347" t="str">
        <f t="shared" ref="B33:H33" si="2">SUM(B11:B32)</f>
        <v>  42,797 </v>
      </c>
      <c r="C33" s="347" t="str">
        <f t="shared" si="2"/>
        <v>  49,930 </v>
      </c>
      <c r="D33" s="347" t="str">
        <f t="shared" si="2"/>
        <v>  57,063 </v>
      </c>
      <c r="E33" s="347" t="str">
        <f t="shared" si="2"/>
        <v>  64,196 </v>
      </c>
      <c r="F33" s="347" t="str">
        <f t="shared" si="2"/>
        <v>  71,328 </v>
      </c>
      <c r="G33" s="347" t="str">
        <f t="shared" si="2"/>
        <v>  78,461 </v>
      </c>
      <c r="H33" s="347" t="str">
        <f t="shared" si="2"/>
        <v>  85,594 </v>
      </c>
    </row>
    <row r="34" ht="15.75" customHeight="1">
      <c r="A34" s="347" t="str">
        <f>'11.F&amp;V Crop Production details'!A1:H1</f>
        <v> Fruit  &amp; Vegetables Crop Production Details</v>
      </c>
      <c r="B34" s="347"/>
      <c r="C34" s="347"/>
      <c r="D34" s="347"/>
      <c r="E34" s="347"/>
      <c r="F34" s="347"/>
      <c r="G34" s="347"/>
      <c r="H34" s="347"/>
    </row>
    <row r="35" ht="15.75" customHeight="1">
      <c r="A35" s="347" t="str">
        <f>'11.F&amp;V Crop Production details'!A46</f>
        <v> Onion</v>
      </c>
      <c r="B35" s="347" t="str">
        <f>'11.F&amp;V Crop Production details'!B46</f>
        <v>  -   </v>
      </c>
      <c r="C35" s="347" t="str">
        <f>'11.F&amp;V Crop Production details'!C46</f>
        <v>  -   </v>
      </c>
      <c r="D35" s="347" t="str">
        <f>'11.F&amp;V Crop Production details'!D46</f>
        <v>  -   </v>
      </c>
      <c r="E35" s="347" t="str">
        <f>'11.F&amp;V Crop Production details'!E46</f>
        <v>  -   </v>
      </c>
      <c r="F35" s="347" t="str">
        <f>'11.F&amp;V Crop Production details'!F46</f>
        <v>  -   </v>
      </c>
      <c r="G35" s="347" t="str">
        <f>'11.F&amp;V Crop Production details'!G46</f>
        <v>  -   </v>
      </c>
      <c r="H35" s="347" t="str">
        <f>'11.F&amp;V Crop Production details'!H46</f>
        <v>  -   </v>
      </c>
    </row>
    <row r="36" ht="15.75" customHeight="1">
      <c r="A36" s="347" t="str">
        <f>'11.F&amp;V Crop Production details'!A47</f>
        <v> Tomato</v>
      </c>
      <c r="B36" s="347" t="str">
        <f>'11.F&amp;V Crop Production details'!B47</f>
        <v>  -   </v>
      </c>
      <c r="C36" s="347" t="str">
        <f>'11.F&amp;V Crop Production details'!C47</f>
        <v>  -   </v>
      </c>
      <c r="D36" s="347" t="str">
        <f>'11.F&amp;V Crop Production details'!D47</f>
        <v>  -   </v>
      </c>
      <c r="E36" s="347" t="str">
        <f>'11.F&amp;V Crop Production details'!E47</f>
        <v>  -   </v>
      </c>
      <c r="F36" s="347" t="str">
        <f>'11.F&amp;V Crop Production details'!F47</f>
        <v>  -   </v>
      </c>
      <c r="G36" s="347" t="str">
        <f>'11.F&amp;V Crop Production details'!G47</f>
        <v>  -   </v>
      </c>
      <c r="H36" s="347" t="str">
        <f>'11.F&amp;V Crop Production details'!H47</f>
        <v>  -   </v>
      </c>
    </row>
    <row r="37" ht="15.75" customHeight="1">
      <c r="A37" s="347" t="str">
        <f>'11.F&amp;V Crop Production details'!A48</f>
        <v> Okra</v>
      </c>
      <c r="B37" s="347" t="str">
        <f>'11.F&amp;V Crop Production details'!B48</f>
        <v>  -   </v>
      </c>
      <c r="C37" s="347" t="str">
        <f>'11.F&amp;V Crop Production details'!C48</f>
        <v>  -   </v>
      </c>
      <c r="D37" s="347" t="str">
        <f>'11.F&amp;V Crop Production details'!D48</f>
        <v>  -   </v>
      </c>
      <c r="E37" s="347" t="str">
        <f>'11.F&amp;V Crop Production details'!E48</f>
        <v>  -   </v>
      </c>
      <c r="F37" s="347" t="str">
        <f>'11.F&amp;V Crop Production details'!F48</f>
        <v>  -   </v>
      </c>
      <c r="G37" s="347" t="str">
        <f>'11.F&amp;V Crop Production details'!G48</f>
        <v>  -   </v>
      </c>
      <c r="H37" s="347" t="str">
        <f>'11.F&amp;V Crop Production details'!H48</f>
        <v>  -   </v>
      </c>
    </row>
    <row r="38" ht="15.75" customHeight="1">
      <c r="A38" s="347" t="str">
        <f>'11.F&amp;V Crop Production details'!A49</f>
        <v> Chilli</v>
      </c>
      <c r="B38" s="347" t="str">
        <f>'11.F&amp;V Crop Production details'!B49</f>
        <v>  -   </v>
      </c>
      <c r="C38" s="347" t="str">
        <f>'11.F&amp;V Crop Production details'!C49</f>
        <v>  -   </v>
      </c>
      <c r="D38" s="347" t="str">
        <f>'11.F&amp;V Crop Production details'!D49</f>
        <v>  -   </v>
      </c>
      <c r="E38" s="347" t="str">
        <f>'11.F&amp;V Crop Production details'!E49</f>
        <v>  -   </v>
      </c>
      <c r="F38" s="347" t="str">
        <f>'11.F&amp;V Crop Production details'!F49</f>
        <v>  -   </v>
      </c>
      <c r="G38" s="347" t="str">
        <f>'11.F&amp;V Crop Production details'!G49</f>
        <v>  -   </v>
      </c>
      <c r="H38" s="347" t="str">
        <f>'11.F&amp;V Crop Production details'!H49</f>
        <v>  -   </v>
      </c>
    </row>
    <row r="39" ht="15.75" customHeight="1">
      <c r="A39" s="347" t="str">
        <f>'11.F&amp;V Crop Production details'!A50</f>
        <v> Potato</v>
      </c>
      <c r="B39" s="347" t="str">
        <f>'11.F&amp;V Crop Production details'!B50</f>
        <v>  -   </v>
      </c>
      <c r="C39" s="347" t="str">
        <f>'11.F&amp;V Crop Production details'!C50</f>
        <v>  -   </v>
      </c>
      <c r="D39" s="347" t="str">
        <f>'11.F&amp;V Crop Production details'!D50</f>
        <v>  -   </v>
      </c>
      <c r="E39" s="347" t="str">
        <f>'11.F&amp;V Crop Production details'!E50</f>
        <v>  -   </v>
      </c>
      <c r="F39" s="347" t="str">
        <f>'11.F&amp;V Crop Production details'!F50</f>
        <v>  -   </v>
      </c>
      <c r="G39" s="347" t="str">
        <f>'11.F&amp;V Crop Production details'!G50</f>
        <v>  -   </v>
      </c>
      <c r="H39" s="347" t="str">
        <f>'11.F&amp;V Crop Production details'!H50</f>
        <v>  -   </v>
      </c>
    </row>
    <row r="40" ht="15.75" customHeight="1">
      <c r="A40" s="347" t="str">
        <f>'11.F&amp;V Crop Production details'!A51</f>
        <v/>
      </c>
      <c r="B40" s="347" t="str">
        <f>'11.F&amp;V Crop Production details'!B51</f>
        <v>  -   </v>
      </c>
      <c r="C40" s="347" t="str">
        <f>'11.F&amp;V Crop Production details'!C51</f>
        <v>  -   </v>
      </c>
      <c r="D40" s="347" t="str">
        <f>'11.F&amp;V Crop Production details'!D51</f>
        <v>  -   </v>
      </c>
      <c r="E40" s="347" t="str">
        <f>'11.F&amp;V Crop Production details'!E51</f>
        <v>  -   </v>
      </c>
      <c r="F40" s="347" t="str">
        <f>'11.F&amp;V Crop Production details'!F51</f>
        <v>  -   </v>
      </c>
      <c r="G40" s="347" t="str">
        <f>'11.F&amp;V Crop Production details'!G51</f>
        <v>  -   </v>
      </c>
      <c r="H40" s="347" t="str">
        <f>'11.F&amp;V Crop Production details'!H51</f>
        <v>  -   </v>
      </c>
    </row>
    <row r="41" ht="15.75" customHeight="1">
      <c r="A41" s="347" t="str">
        <f>'11.F&amp;V Crop Production details'!A52</f>
        <v/>
      </c>
      <c r="B41" s="347" t="str">
        <f>'11.F&amp;V Crop Production details'!B52</f>
        <v>  -   </v>
      </c>
      <c r="C41" s="347" t="str">
        <f>'11.F&amp;V Crop Production details'!C52</f>
        <v>  -   </v>
      </c>
      <c r="D41" s="347" t="str">
        <f>'11.F&amp;V Crop Production details'!D52</f>
        <v>  -   </v>
      </c>
      <c r="E41" s="347" t="str">
        <f>'11.F&amp;V Crop Production details'!E52</f>
        <v>  -   </v>
      </c>
      <c r="F41" s="347" t="str">
        <f>'11.F&amp;V Crop Production details'!F52</f>
        <v>  -   </v>
      </c>
      <c r="G41" s="347" t="str">
        <f>'11.F&amp;V Crop Production details'!G52</f>
        <v>  -   </v>
      </c>
      <c r="H41" s="347" t="str">
        <f>'11.F&amp;V Crop Production details'!H52</f>
        <v>  -   </v>
      </c>
    </row>
    <row r="42" ht="15.75" customHeight="1">
      <c r="A42" s="347" t="str">
        <f>'11.F&amp;V Crop Production details'!A53</f>
        <v/>
      </c>
      <c r="B42" s="347" t="str">
        <f>'11.F&amp;V Crop Production details'!B53</f>
        <v>  -   </v>
      </c>
      <c r="C42" s="347" t="str">
        <f>'11.F&amp;V Crop Production details'!C53</f>
        <v>  -   </v>
      </c>
      <c r="D42" s="347" t="str">
        <f>'11.F&amp;V Crop Production details'!D53</f>
        <v>  -   </v>
      </c>
      <c r="E42" s="347" t="str">
        <f>'11.F&amp;V Crop Production details'!E53</f>
        <v>  -   </v>
      </c>
      <c r="F42" s="347" t="str">
        <f>'11.F&amp;V Crop Production details'!F53</f>
        <v>  -   </v>
      </c>
      <c r="G42" s="347" t="str">
        <f>'11.F&amp;V Crop Production details'!G53</f>
        <v>  -   </v>
      </c>
      <c r="H42" s="347" t="str">
        <f>'11.F&amp;V Crop Production details'!H53</f>
        <v>  -   </v>
      </c>
    </row>
    <row r="43" ht="15.75" customHeight="1">
      <c r="A43" s="347" t="str">
        <f>'11.F&amp;V Crop Production details'!A54</f>
        <v/>
      </c>
      <c r="B43" s="347" t="str">
        <f>'11.F&amp;V Crop Production details'!B54</f>
        <v>  -   </v>
      </c>
      <c r="C43" s="347" t="str">
        <f>'11.F&amp;V Crop Production details'!C54</f>
        <v>  -   </v>
      </c>
      <c r="D43" s="347" t="str">
        <f>'11.F&amp;V Crop Production details'!D54</f>
        <v>  -   </v>
      </c>
      <c r="E43" s="347" t="str">
        <f>'11.F&amp;V Crop Production details'!E54</f>
        <v>  -   </v>
      </c>
      <c r="F43" s="347" t="str">
        <f>'11.F&amp;V Crop Production details'!F54</f>
        <v>  -   </v>
      </c>
      <c r="G43" s="347" t="str">
        <f>'11.F&amp;V Crop Production details'!G54</f>
        <v>  -   </v>
      </c>
      <c r="H43" s="347" t="str">
        <f>'11.F&amp;V Crop Production details'!H54</f>
        <v>  -   </v>
      </c>
    </row>
    <row r="44" ht="15.75" customHeight="1">
      <c r="A44" s="347" t="str">
        <f>'11.F&amp;V Crop Production details'!A55</f>
        <v> Onion</v>
      </c>
      <c r="B44" s="347" t="str">
        <f>'11.F&amp;V Crop Production details'!B55</f>
        <v>  -   </v>
      </c>
      <c r="C44" s="347" t="str">
        <f>'11.F&amp;V Crop Production details'!C55</f>
        <v>  -   </v>
      </c>
      <c r="D44" s="347" t="str">
        <f>'11.F&amp;V Crop Production details'!D55</f>
        <v>  -   </v>
      </c>
      <c r="E44" s="347" t="str">
        <f>'11.F&amp;V Crop Production details'!E55</f>
        <v>  -   </v>
      </c>
      <c r="F44" s="347" t="str">
        <f>'11.F&amp;V Crop Production details'!F55</f>
        <v>  -   </v>
      </c>
      <c r="G44" s="347" t="str">
        <f>'11.F&amp;V Crop Production details'!G55</f>
        <v>  -   </v>
      </c>
      <c r="H44" s="347" t="str">
        <f>'11.F&amp;V Crop Production details'!H55</f>
        <v>  -   </v>
      </c>
    </row>
    <row r="45" ht="15.75" customHeight="1">
      <c r="A45" s="347" t="str">
        <f>'11.F&amp;V Crop Production details'!A56</f>
        <v> Tomato</v>
      </c>
      <c r="B45" s="347" t="str">
        <f>'11.F&amp;V Crop Production details'!B56</f>
        <v>  -   </v>
      </c>
      <c r="C45" s="347" t="str">
        <f>'11.F&amp;V Crop Production details'!C56</f>
        <v>  -   </v>
      </c>
      <c r="D45" s="347" t="str">
        <f>'11.F&amp;V Crop Production details'!D56</f>
        <v>  -   </v>
      </c>
      <c r="E45" s="347" t="str">
        <f>'11.F&amp;V Crop Production details'!E56</f>
        <v>  -   </v>
      </c>
      <c r="F45" s="347" t="str">
        <f>'11.F&amp;V Crop Production details'!F56</f>
        <v>  -   </v>
      </c>
      <c r="G45" s="347" t="str">
        <f>'11.F&amp;V Crop Production details'!G56</f>
        <v>  -   </v>
      </c>
      <c r="H45" s="347" t="str">
        <f>'11.F&amp;V Crop Production details'!H56</f>
        <v>  -   </v>
      </c>
    </row>
    <row r="46" ht="15.75" customHeight="1">
      <c r="A46" s="347" t="str">
        <f>'11.F&amp;V Crop Production details'!A57</f>
        <v> Okra</v>
      </c>
      <c r="B46" s="347" t="str">
        <f>'11.F&amp;V Crop Production details'!B57</f>
        <v>  -   </v>
      </c>
      <c r="C46" s="347" t="str">
        <f>'11.F&amp;V Crop Production details'!C57</f>
        <v>  -   </v>
      </c>
      <c r="D46" s="347" t="str">
        <f>'11.F&amp;V Crop Production details'!D57</f>
        <v>  -   </v>
      </c>
      <c r="E46" s="347" t="str">
        <f>'11.F&amp;V Crop Production details'!E57</f>
        <v>  -   </v>
      </c>
      <c r="F46" s="347" t="str">
        <f>'11.F&amp;V Crop Production details'!F57</f>
        <v>  -   </v>
      </c>
      <c r="G46" s="347" t="str">
        <f>'11.F&amp;V Crop Production details'!G57</f>
        <v>  -   </v>
      </c>
      <c r="H46" s="347" t="str">
        <f>'11.F&amp;V Crop Production details'!H57</f>
        <v>  -   </v>
      </c>
    </row>
    <row r="47" ht="15.75" customHeight="1">
      <c r="A47" s="347" t="str">
        <f>'11.F&amp;V Crop Production details'!A58</f>
        <v> Chilli</v>
      </c>
      <c r="B47" s="347" t="str">
        <f>'11.F&amp;V Crop Production details'!B58</f>
        <v>  -   </v>
      </c>
      <c r="C47" s="347" t="str">
        <f>'11.F&amp;V Crop Production details'!C58</f>
        <v>  -   </v>
      </c>
      <c r="D47" s="347" t="str">
        <f>'11.F&amp;V Crop Production details'!D58</f>
        <v>  -   </v>
      </c>
      <c r="E47" s="347" t="str">
        <f>'11.F&amp;V Crop Production details'!E58</f>
        <v>  -   </v>
      </c>
      <c r="F47" s="347" t="str">
        <f>'11.F&amp;V Crop Production details'!F58</f>
        <v>  -   </v>
      </c>
      <c r="G47" s="347" t="str">
        <f>'11.F&amp;V Crop Production details'!G58</f>
        <v>  -   </v>
      </c>
      <c r="H47" s="347" t="str">
        <f>'11.F&amp;V Crop Production details'!H58</f>
        <v>  -   </v>
      </c>
    </row>
    <row r="48" ht="15.75" customHeight="1">
      <c r="A48" s="347" t="str">
        <f>'11.F&amp;V Crop Production details'!A59</f>
        <v> Brinjal</v>
      </c>
      <c r="B48" s="347" t="str">
        <f>'11.F&amp;V Crop Production details'!B59</f>
        <v>  -   </v>
      </c>
      <c r="C48" s="347" t="str">
        <f>'11.F&amp;V Crop Production details'!C59</f>
        <v>  -   </v>
      </c>
      <c r="D48" s="347" t="str">
        <f>'11.F&amp;V Crop Production details'!D59</f>
        <v>  -   </v>
      </c>
      <c r="E48" s="347" t="str">
        <f>'11.F&amp;V Crop Production details'!E59</f>
        <v>  -   </v>
      </c>
      <c r="F48" s="347" t="str">
        <f>'11.F&amp;V Crop Production details'!F59</f>
        <v>  -   </v>
      </c>
      <c r="G48" s="347" t="str">
        <f>'11.F&amp;V Crop Production details'!G59</f>
        <v>  -   </v>
      </c>
      <c r="H48" s="347" t="str">
        <f>'11.F&amp;V Crop Production details'!H59</f>
        <v>  -   </v>
      </c>
    </row>
    <row r="49" ht="15.75" customHeight="1">
      <c r="A49" s="347" t="str">
        <f>'11.F&amp;V Crop Production details'!A60</f>
        <v/>
      </c>
      <c r="B49" s="347" t="str">
        <f>'11.F&amp;V Crop Production details'!B60</f>
        <v>  -   </v>
      </c>
      <c r="C49" s="347" t="str">
        <f>'11.F&amp;V Crop Production details'!C60</f>
        <v>  -   </v>
      </c>
      <c r="D49" s="347" t="str">
        <f>'11.F&amp;V Crop Production details'!D60</f>
        <v>  -   </v>
      </c>
      <c r="E49" s="347" t="str">
        <f>'11.F&amp;V Crop Production details'!E60</f>
        <v>  -   </v>
      </c>
      <c r="F49" s="347" t="str">
        <f>'11.F&amp;V Crop Production details'!F60</f>
        <v>  -   </v>
      </c>
      <c r="G49" s="347" t="str">
        <f>'11.F&amp;V Crop Production details'!G60</f>
        <v>  -   </v>
      </c>
      <c r="H49" s="347" t="str">
        <f>'11.F&amp;V Crop Production details'!H60</f>
        <v>  -   </v>
      </c>
    </row>
    <row r="50" ht="15.75" customHeight="1">
      <c r="A50" s="347" t="str">
        <f>'11.F&amp;V Crop Production details'!A61</f>
        <v/>
      </c>
      <c r="B50" s="347" t="str">
        <f>'11.F&amp;V Crop Production details'!B61</f>
        <v>  -   </v>
      </c>
      <c r="C50" s="347" t="str">
        <f>'11.F&amp;V Crop Production details'!C61</f>
        <v>  -   </v>
      </c>
      <c r="D50" s="347" t="str">
        <f>'11.F&amp;V Crop Production details'!D61</f>
        <v>  -   </v>
      </c>
      <c r="E50" s="347" t="str">
        <f>'11.F&amp;V Crop Production details'!E61</f>
        <v>  -   </v>
      </c>
      <c r="F50" s="347" t="str">
        <f>'11.F&amp;V Crop Production details'!F61</f>
        <v>  -   </v>
      </c>
      <c r="G50" s="347" t="str">
        <f>'11.F&amp;V Crop Production details'!G61</f>
        <v>  -   </v>
      </c>
      <c r="H50" s="347" t="str">
        <f>'11.F&amp;V Crop Production details'!H61</f>
        <v>  -   </v>
      </c>
    </row>
    <row r="51" ht="15.75" customHeight="1">
      <c r="A51" s="347" t="str">
        <f>'11.F&amp;V Crop Production details'!A62</f>
        <v/>
      </c>
      <c r="B51" s="347" t="str">
        <f>'11.F&amp;V Crop Production details'!B62</f>
        <v>  -   </v>
      </c>
      <c r="C51" s="347" t="str">
        <f>'11.F&amp;V Crop Production details'!C62</f>
        <v>  -   </v>
      </c>
      <c r="D51" s="347" t="str">
        <f>'11.F&amp;V Crop Production details'!D62</f>
        <v>  -   </v>
      </c>
      <c r="E51" s="347" t="str">
        <f>'11.F&amp;V Crop Production details'!E62</f>
        <v>  -   </v>
      </c>
      <c r="F51" s="347" t="str">
        <f>'11.F&amp;V Crop Production details'!F62</f>
        <v>  -   </v>
      </c>
      <c r="G51" s="347" t="str">
        <f>'11.F&amp;V Crop Production details'!G62</f>
        <v>  -   </v>
      </c>
      <c r="H51" s="347" t="str">
        <f>'11.F&amp;V Crop Production details'!H62</f>
        <v>  -   </v>
      </c>
    </row>
    <row r="52" ht="15.75" customHeight="1">
      <c r="A52" s="347" t="str">
        <f>'11.F&amp;V Crop Production details'!A63</f>
        <v/>
      </c>
      <c r="B52" s="347" t="str">
        <f>'11.F&amp;V Crop Production details'!B63</f>
        <v>  -   </v>
      </c>
      <c r="C52" s="347" t="str">
        <f>'11.F&amp;V Crop Production details'!C63</f>
        <v>  -   </v>
      </c>
      <c r="D52" s="347" t="str">
        <f>'11.F&amp;V Crop Production details'!D63</f>
        <v>  -   </v>
      </c>
      <c r="E52" s="347" t="str">
        <f>'11.F&amp;V Crop Production details'!E63</f>
        <v>  -   </v>
      </c>
      <c r="F52" s="347" t="str">
        <f>'11.F&amp;V Crop Production details'!F63</f>
        <v>  -   </v>
      </c>
      <c r="G52" s="347" t="str">
        <f>'11.F&amp;V Crop Production details'!G63</f>
        <v>  -   </v>
      </c>
      <c r="H52" s="347" t="str">
        <f>'11.F&amp;V Crop Production details'!H63</f>
        <v>  -   </v>
      </c>
    </row>
    <row r="53" ht="15.75" customHeight="1">
      <c r="A53" s="347" t="str">
        <f>'11.F&amp;V Crop Production details'!A64</f>
        <v/>
      </c>
      <c r="B53" s="347"/>
      <c r="C53" s="347"/>
      <c r="D53" s="347"/>
      <c r="E53" s="347"/>
      <c r="F53" s="347"/>
      <c r="G53" s="347"/>
      <c r="H53" s="347"/>
    </row>
    <row r="54" ht="15.75" customHeight="1">
      <c r="A54" s="347" t="str">
        <f>'11.F&amp;V Crop Production details'!A65</f>
        <v/>
      </c>
      <c r="B54" s="347"/>
      <c r="C54" s="347"/>
      <c r="D54" s="347"/>
      <c r="E54" s="347"/>
      <c r="F54" s="347"/>
      <c r="G54" s="347"/>
      <c r="H54" s="347"/>
    </row>
    <row r="55" ht="15.75" customHeight="1">
      <c r="A55" s="347" t="str">
        <f>'11.F&amp;V Crop Production details'!A66</f>
        <v/>
      </c>
      <c r="B55" s="347"/>
      <c r="C55" s="347"/>
      <c r="D55" s="347"/>
      <c r="E55" s="347"/>
      <c r="F55" s="347"/>
      <c r="G55" s="347"/>
      <c r="H55" s="347"/>
    </row>
    <row r="56" ht="15.75" customHeight="1">
      <c r="A56" s="347" t="str">
        <f>'11.F&amp;V Crop Production details'!A67</f>
        <v> Pomegranate</v>
      </c>
      <c r="B56" s="347" t="str">
        <f>'11.F&amp;V Crop Production details'!B67</f>
        <v>  -   </v>
      </c>
      <c r="C56" s="347" t="str">
        <f>'11.F&amp;V Crop Production details'!C67</f>
        <v>  -   </v>
      </c>
      <c r="D56" s="347" t="str">
        <f>'11.F&amp;V Crop Production details'!D67</f>
        <v>  -   </v>
      </c>
      <c r="E56" s="347" t="str">
        <f>'11.F&amp;V Crop Production details'!E67</f>
        <v>  -   </v>
      </c>
      <c r="F56" s="347" t="str">
        <f>'11.F&amp;V Crop Production details'!F67</f>
        <v>  -   </v>
      </c>
      <c r="G56" s="347" t="str">
        <f>'11.F&amp;V Crop Production details'!G67</f>
        <v>  -   </v>
      </c>
      <c r="H56" s="347" t="str">
        <f>'11.F&amp;V Crop Production details'!H67</f>
        <v>  -   </v>
      </c>
    </row>
    <row r="57" ht="15.75" customHeight="1">
      <c r="A57" s="347" t="str">
        <f>'11.F&amp;V Crop Production details'!A68</f>
        <v> Custard Apple</v>
      </c>
      <c r="B57" s="347" t="str">
        <f>'11.F&amp;V Crop Production details'!B68</f>
        <v>  -   </v>
      </c>
      <c r="C57" s="347" t="str">
        <f>'11.F&amp;V Crop Production details'!C68</f>
        <v>  -   </v>
      </c>
      <c r="D57" s="347" t="str">
        <f>'11.F&amp;V Crop Production details'!D68</f>
        <v>  -   </v>
      </c>
      <c r="E57" s="347" t="str">
        <f>'11.F&amp;V Crop Production details'!E68</f>
        <v>  -   </v>
      </c>
      <c r="F57" s="347" t="str">
        <f>'11.F&amp;V Crop Production details'!F68</f>
        <v>  -   </v>
      </c>
      <c r="G57" s="347" t="str">
        <f>'11.F&amp;V Crop Production details'!G68</f>
        <v>  -   </v>
      </c>
      <c r="H57" s="347" t="str">
        <f>'11.F&amp;V Crop Production details'!H68</f>
        <v>  -   </v>
      </c>
    </row>
    <row r="58" ht="15.75" customHeight="1">
      <c r="A58" s="347" t="str">
        <f>'11.F&amp;V Crop Production details'!A69</f>
        <v> Guava</v>
      </c>
      <c r="B58" s="347" t="str">
        <f>'11.F&amp;V Crop Production details'!B69</f>
        <v>  -   </v>
      </c>
      <c r="C58" s="347" t="str">
        <f>'11.F&amp;V Crop Production details'!C69</f>
        <v>  -   </v>
      </c>
      <c r="D58" s="347" t="str">
        <f>'11.F&amp;V Crop Production details'!D69</f>
        <v>  -   </v>
      </c>
      <c r="E58" s="347" t="str">
        <f>'11.F&amp;V Crop Production details'!E69</f>
        <v>  -   </v>
      </c>
      <c r="F58" s="347" t="str">
        <f>'11.F&amp;V Crop Production details'!F69</f>
        <v>  -   </v>
      </c>
      <c r="G58" s="347" t="str">
        <f>'11.F&amp;V Crop Production details'!G69</f>
        <v>  -   </v>
      </c>
      <c r="H58" s="347" t="str">
        <f>'11.F&amp;V Crop Production details'!H69</f>
        <v>  -   </v>
      </c>
    </row>
    <row r="59" ht="15.75" customHeight="1">
      <c r="A59" s="347" t="str">
        <f>'11.F&amp;V Crop Production details'!A70</f>
        <v> Citrus</v>
      </c>
      <c r="B59" s="347" t="str">
        <f>'11.F&amp;V Crop Production details'!B70</f>
        <v>  -   </v>
      </c>
      <c r="C59" s="347" t="str">
        <f>'11.F&amp;V Crop Production details'!C70</f>
        <v>  -   </v>
      </c>
      <c r="D59" s="347" t="str">
        <f>'11.F&amp;V Crop Production details'!D70</f>
        <v>  -   </v>
      </c>
      <c r="E59" s="347" t="str">
        <f>'11.F&amp;V Crop Production details'!E70</f>
        <v>  -   </v>
      </c>
      <c r="F59" s="347" t="str">
        <f>'11.F&amp;V Crop Production details'!F70</f>
        <v>  -   </v>
      </c>
      <c r="G59" s="347" t="str">
        <f>'11.F&amp;V Crop Production details'!G70</f>
        <v>  -   </v>
      </c>
      <c r="H59" s="347" t="str">
        <f>'11.F&amp;V Crop Production details'!H70</f>
        <v>  -   </v>
      </c>
    </row>
    <row r="60" ht="15.75" customHeight="1">
      <c r="A60" s="347"/>
      <c r="B60" s="347"/>
      <c r="C60" s="347"/>
      <c r="D60" s="347"/>
      <c r="E60" s="347"/>
      <c r="F60" s="347"/>
      <c r="G60" s="347"/>
      <c r="H60" s="347"/>
    </row>
    <row r="61" ht="15.75" customHeight="1">
      <c r="A61" s="117" t="s">
        <v>609</v>
      </c>
      <c r="B61" s="347" t="str">
        <f t="shared" ref="B61:H61" si="3">SUM(B35:B59)</f>
        <v>  -   </v>
      </c>
      <c r="C61" s="347" t="str">
        <f t="shared" si="3"/>
        <v>  -   </v>
      </c>
      <c r="D61" s="347" t="str">
        <f t="shared" si="3"/>
        <v>  -   </v>
      </c>
      <c r="E61" s="347" t="str">
        <f t="shared" si="3"/>
        <v>  -   </v>
      </c>
      <c r="F61" s="347" t="str">
        <f t="shared" si="3"/>
        <v>  -   </v>
      </c>
      <c r="G61" s="347" t="str">
        <f t="shared" si="3"/>
        <v>  -   </v>
      </c>
      <c r="H61" s="347" t="str">
        <f t="shared" si="3"/>
        <v>  -   </v>
      </c>
    </row>
    <row r="62" ht="15.75" customHeight="1">
      <c r="A62" s="348" t="s">
        <v>610</v>
      </c>
      <c r="B62" s="349">
        <v>0.4</v>
      </c>
      <c r="C62" s="349">
        <v>0.4</v>
      </c>
      <c r="D62" s="349">
        <v>0.4</v>
      </c>
      <c r="E62" s="349">
        <v>0.4</v>
      </c>
      <c r="F62" s="349">
        <v>0.4</v>
      </c>
      <c r="G62" s="349">
        <v>0.4</v>
      </c>
      <c r="H62" s="349">
        <v>0.4</v>
      </c>
    </row>
    <row r="63" ht="15.75" customHeight="1">
      <c r="A63" s="348" t="s">
        <v>611</v>
      </c>
      <c r="B63" s="349" t="str">
        <f t="shared" ref="B63:H63" si="4">1-B62</f>
        <v>60%</v>
      </c>
      <c r="C63" s="349" t="str">
        <f t="shared" si="4"/>
        <v>60%</v>
      </c>
      <c r="D63" s="349" t="str">
        <f t="shared" si="4"/>
        <v>60%</v>
      </c>
      <c r="E63" s="349" t="str">
        <f t="shared" si="4"/>
        <v>60%</v>
      </c>
      <c r="F63" s="349" t="str">
        <f t="shared" si="4"/>
        <v>60%</v>
      </c>
      <c r="G63" s="349" t="str">
        <f t="shared" si="4"/>
        <v>60%</v>
      </c>
      <c r="H63" s="349" t="str">
        <f t="shared" si="4"/>
        <v>60%</v>
      </c>
    </row>
    <row r="64" ht="15.75" customHeight="1">
      <c r="A64" s="348"/>
      <c r="B64" s="349"/>
      <c r="C64" s="349"/>
      <c r="D64" s="349"/>
      <c r="E64" s="349"/>
      <c r="F64" s="349"/>
      <c r="G64" s="349"/>
      <c r="H64" s="349"/>
    </row>
    <row r="65" ht="15.75" customHeight="1">
      <c r="A65" s="348" t="s">
        <v>612</v>
      </c>
      <c r="B65" s="350" t="str">
        <f t="shared" ref="B65:H65" si="5">B33*B62</f>
        <v>  17,119 </v>
      </c>
      <c r="C65" s="350" t="str">
        <f t="shared" si="5"/>
        <v>  19,972 </v>
      </c>
      <c r="D65" s="350" t="str">
        <f t="shared" si="5"/>
        <v>  22,825 </v>
      </c>
      <c r="E65" s="350" t="str">
        <f t="shared" si="5"/>
        <v>  25,678 </v>
      </c>
      <c r="F65" s="350" t="str">
        <f t="shared" si="5"/>
        <v>  28,531 </v>
      </c>
      <c r="G65" s="350" t="str">
        <f t="shared" si="5"/>
        <v>  31,384 </v>
      </c>
      <c r="H65" s="350" t="str">
        <f t="shared" si="5"/>
        <v>  34,238 </v>
      </c>
    </row>
    <row r="66" ht="15.75" customHeight="1">
      <c r="A66" s="117"/>
      <c r="B66" s="347"/>
      <c r="C66" s="347"/>
      <c r="D66" s="347"/>
      <c r="E66" s="347"/>
      <c r="F66" s="347"/>
      <c r="G66" s="347"/>
      <c r="H66" s="347"/>
    </row>
    <row r="67" ht="15.75" customHeight="1">
      <c r="A67" s="117" t="s">
        <v>613</v>
      </c>
      <c r="B67" s="347"/>
      <c r="C67" s="347"/>
      <c r="D67" s="347"/>
      <c r="E67" s="347"/>
      <c r="F67" s="347"/>
      <c r="G67" s="347"/>
      <c r="H67" s="347"/>
    </row>
    <row r="68" ht="15.75" customHeight="1">
      <c r="A68" s="351" t="str">
        <f t="shared" ref="A68:A89" si="6">A11</f>
        <v> Soybean</v>
      </c>
      <c r="B68" s="351" t="str">
        <f t="shared" ref="B68:B89" si="7">B11*$B$63</f>
        <v>  13,373 </v>
      </c>
      <c r="C68" s="351" t="str">
        <f t="shared" ref="C68:C83" si="8">C11*$C$63</f>
        <v>  15,602 </v>
      </c>
      <c r="D68" s="351" t="str">
        <f t="shared" ref="D68:D83" si="9">D11*$D$63</f>
        <v>  17,831 </v>
      </c>
      <c r="E68" s="351" t="str">
        <f t="shared" ref="E68:E83" si="10">E11*$E$63</f>
        <v>  20,060 </v>
      </c>
      <c r="F68" s="351" t="str">
        <f t="shared" ref="F68:F83" si="11">F11*$F$63</f>
        <v>  22,289 </v>
      </c>
      <c r="G68" s="351" t="str">
        <f t="shared" ref="G68:G83" si="12">G11*$G$63</f>
        <v>  24,518 </v>
      </c>
      <c r="H68" s="351" t="str">
        <f t="shared" ref="H68:H83" si="13">H11*$H$63</f>
        <v>  26,747 </v>
      </c>
    </row>
    <row r="69" ht="15.75" customHeight="1">
      <c r="A69" s="351" t="str">
        <f t="shared" si="6"/>
        <v> Redgram</v>
      </c>
      <c r="B69" s="351" t="str">
        <f t="shared" si="7"/>
        <v>  755 </v>
      </c>
      <c r="C69" s="351" t="str">
        <f t="shared" si="8"/>
        <v>  881 </v>
      </c>
      <c r="D69" s="351" t="str">
        <f t="shared" si="9"/>
        <v>  1,007 </v>
      </c>
      <c r="E69" s="351" t="str">
        <f t="shared" si="10"/>
        <v>  1,132 </v>
      </c>
      <c r="F69" s="351" t="str">
        <f t="shared" si="11"/>
        <v>  1,258 </v>
      </c>
      <c r="G69" s="351" t="str">
        <f t="shared" si="12"/>
        <v>  1,384 </v>
      </c>
      <c r="H69" s="351" t="str">
        <f t="shared" si="13"/>
        <v>  1,510 </v>
      </c>
    </row>
    <row r="70" ht="15.75" customHeight="1">
      <c r="A70" s="351" t="str">
        <f t="shared" si="6"/>
        <v> Turmeric</v>
      </c>
      <c r="B70" s="351" t="str">
        <f t="shared" si="7"/>
        <v>  1,589 </v>
      </c>
      <c r="C70" s="351" t="str">
        <f t="shared" si="8"/>
        <v>  1,854 </v>
      </c>
      <c r="D70" s="351" t="str">
        <f t="shared" si="9"/>
        <v>  2,119 </v>
      </c>
      <c r="E70" s="351" t="str">
        <f t="shared" si="10"/>
        <v>  2,384 </v>
      </c>
      <c r="F70" s="351" t="str">
        <f t="shared" si="11"/>
        <v>  2,649 </v>
      </c>
      <c r="G70" s="351" t="str">
        <f t="shared" si="12"/>
        <v>  2,914 </v>
      </c>
      <c r="H70" s="351" t="str">
        <f t="shared" si="13"/>
        <v>  3,178 </v>
      </c>
    </row>
    <row r="71" ht="15.75" customHeight="1">
      <c r="A71" s="351" t="str">
        <f t="shared" si="6"/>
        <v> Bengalgram</v>
      </c>
      <c r="B71" s="351" t="str">
        <f t="shared" si="7"/>
        <v>  551 </v>
      </c>
      <c r="C71" s="351" t="str">
        <f t="shared" si="8"/>
        <v>  642 </v>
      </c>
      <c r="D71" s="351" t="str">
        <f t="shared" si="9"/>
        <v>  734 </v>
      </c>
      <c r="E71" s="351" t="str">
        <f t="shared" si="10"/>
        <v>  826 </v>
      </c>
      <c r="F71" s="351" t="str">
        <f t="shared" si="11"/>
        <v>  918 </v>
      </c>
      <c r="G71" s="351" t="str">
        <f t="shared" si="12"/>
        <v>  1,010 </v>
      </c>
      <c r="H71" s="351" t="str">
        <f t="shared" si="13"/>
        <v>  1,101 </v>
      </c>
    </row>
    <row r="72" ht="15.75" customHeight="1">
      <c r="A72" s="351" t="str">
        <f t="shared" si="6"/>
        <v> Channa</v>
      </c>
      <c r="B72" s="351" t="str">
        <f t="shared" si="7"/>
        <v>  -   </v>
      </c>
      <c r="C72" s="351" t="str">
        <f t="shared" si="8"/>
        <v>  -   </v>
      </c>
      <c r="D72" s="351" t="str">
        <f t="shared" si="9"/>
        <v>  -   </v>
      </c>
      <c r="E72" s="351" t="str">
        <f t="shared" si="10"/>
        <v>  -   </v>
      </c>
      <c r="F72" s="351" t="str">
        <f t="shared" si="11"/>
        <v>  -   </v>
      </c>
      <c r="G72" s="351" t="str">
        <f t="shared" si="12"/>
        <v>  -   </v>
      </c>
      <c r="H72" s="351" t="str">
        <f t="shared" si="13"/>
        <v>  -   </v>
      </c>
    </row>
    <row r="73" ht="15.75" customHeight="1">
      <c r="A73" s="351" t="str">
        <f t="shared" si="6"/>
        <v> Udid</v>
      </c>
      <c r="B73" s="351" t="str">
        <f t="shared" si="7"/>
        <v>  -   </v>
      </c>
      <c r="C73" s="351" t="str">
        <f t="shared" si="8"/>
        <v>  -   </v>
      </c>
      <c r="D73" s="351" t="str">
        <f t="shared" si="9"/>
        <v>  -   </v>
      </c>
      <c r="E73" s="351" t="str">
        <f t="shared" si="10"/>
        <v>  -   </v>
      </c>
      <c r="F73" s="351" t="str">
        <f t="shared" si="11"/>
        <v>  -   </v>
      </c>
      <c r="G73" s="351" t="str">
        <f t="shared" si="12"/>
        <v>  -   </v>
      </c>
      <c r="H73" s="351" t="str">
        <f t="shared" si="13"/>
        <v>  -   </v>
      </c>
    </row>
    <row r="74" ht="15.75" customHeight="1">
      <c r="A74" s="351" t="str">
        <f t="shared" si="6"/>
        <v> Bajra</v>
      </c>
      <c r="B74" s="351" t="str">
        <f t="shared" si="7"/>
        <v>  -   </v>
      </c>
      <c r="C74" s="351" t="str">
        <f t="shared" si="8"/>
        <v>  -   </v>
      </c>
      <c r="D74" s="351" t="str">
        <f t="shared" si="9"/>
        <v>  -   </v>
      </c>
      <c r="E74" s="351" t="str">
        <f t="shared" si="10"/>
        <v>  -   </v>
      </c>
      <c r="F74" s="351" t="str">
        <f t="shared" si="11"/>
        <v>  -   </v>
      </c>
      <c r="G74" s="351" t="str">
        <f t="shared" si="12"/>
        <v>  -   </v>
      </c>
      <c r="H74" s="351" t="str">
        <f t="shared" si="13"/>
        <v>  -   </v>
      </c>
    </row>
    <row r="75" ht="15.75" customHeight="1">
      <c r="A75" s="351" t="str">
        <f t="shared" si="6"/>
        <v> Jawar</v>
      </c>
      <c r="B75" s="351" t="str">
        <f t="shared" si="7"/>
        <v>  -   </v>
      </c>
      <c r="C75" s="351" t="str">
        <f t="shared" si="8"/>
        <v>  -   </v>
      </c>
      <c r="D75" s="351" t="str">
        <f t="shared" si="9"/>
        <v>  -   </v>
      </c>
      <c r="E75" s="351" t="str">
        <f t="shared" si="10"/>
        <v>  -   </v>
      </c>
      <c r="F75" s="351" t="str">
        <f t="shared" si="11"/>
        <v>  -   </v>
      </c>
      <c r="G75" s="351" t="str">
        <f t="shared" si="12"/>
        <v>  -   </v>
      </c>
      <c r="H75" s="351" t="str">
        <f t="shared" si="13"/>
        <v>  -   </v>
      </c>
    </row>
    <row r="76" ht="15.75" customHeight="1">
      <c r="A76" s="351" t="str">
        <f t="shared" si="6"/>
        <v/>
      </c>
      <c r="B76" s="351" t="str">
        <f t="shared" si="7"/>
        <v>  -   </v>
      </c>
      <c r="C76" s="351" t="str">
        <f t="shared" si="8"/>
        <v>  -   </v>
      </c>
      <c r="D76" s="351" t="str">
        <f t="shared" si="9"/>
        <v>  -   </v>
      </c>
      <c r="E76" s="351" t="str">
        <f t="shared" si="10"/>
        <v>  -   </v>
      </c>
      <c r="F76" s="351" t="str">
        <f t="shared" si="11"/>
        <v>  -   </v>
      </c>
      <c r="G76" s="351" t="str">
        <f t="shared" si="12"/>
        <v>  -   </v>
      </c>
      <c r="H76" s="351" t="str">
        <f t="shared" si="13"/>
        <v>  -   </v>
      </c>
    </row>
    <row r="77" ht="15.75" customHeight="1">
      <c r="A77" s="351" t="str">
        <f t="shared" si="6"/>
        <v> Wheat</v>
      </c>
      <c r="B77" s="351" t="str">
        <f t="shared" si="7"/>
        <v>  2,038 </v>
      </c>
      <c r="C77" s="351" t="str">
        <f t="shared" si="8"/>
        <v>  2,378 </v>
      </c>
      <c r="D77" s="351" t="str">
        <f t="shared" si="9"/>
        <v>  2,718 </v>
      </c>
      <c r="E77" s="351" t="str">
        <f t="shared" si="10"/>
        <v>  3,057 </v>
      </c>
      <c r="F77" s="351" t="str">
        <f t="shared" si="11"/>
        <v>  3,397 </v>
      </c>
      <c r="G77" s="351" t="str">
        <f t="shared" si="12"/>
        <v>  3,737 </v>
      </c>
      <c r="H77" s="351" t="str">
        <f t="shared" si="13"/>
        <v>  4,076 </v>
      </c>
    </row>
    <row r="78" ht="15.75" customHeight="1">
      <c r="A78" s="351" t="str">
        <f t="shared" si="6"/>
        <v> Channa</v>
      </c>
      <c r="B78" s="351" t="str">
        <f t="shared" si="7"/>
        <v>  6,341 </v>
      </c>
      <c r="C78" s="351" t="str">
        <f t="shared" si="8"/>
        <v>  7,398 </v>
      </c>
      <c r="D78" s="351" t="str">
        <f t="shared" si="9"/>
        <v>  8,455 </v>
      </c>
      <c r="E78" s="351" t="str">
        <f t="shared" si="10"/>
        <v>  9,511 </v>
      </c>
      <c r="F78" s="351" t="str">
        <f t="shared" si="11"/>
        <v>  10,568 </v>
      </c>
      <c r="G78" s="351" t="str">
        <f t="shared" si="12"/>
        <v>  11,625 </v>
      </c>
      <c r="H78" s="351" t="str">
        <f t="shared" si="13"/>
        <v>  12,682 </v>
      </c>
    </row>
    <row r="79" ht="15.75" customHeight="1">
      <c r="A79" s="351" t="str">
        <f t="shared" si="6"/>
        <v> Jawar</v>
      </c>
      <c r="B79" s="351" t="str">
        <f t="shared" si="7"/>
        <v>  740 </v>
      </c>
      <c r="C79" s="351" t="str">
        <f t="shared" si="8"/>
        <v>  863 </v>
      </c>
      <c r="D79" s="351" t="str">
        <f t="shared" si="9"/>
        <v>  987 </v>
      </c>
      <c r="E79" s="351" t="str">
        <f t="shared" si="10"/>
        <v>  1,110 </v>
      </c>
      <c r="F79" s="351" t="str">
        <f t="shared" si="11"/>
        <v>  1,233 </v>
      </c>
      <c r="G79" s="351" t="str">
        <f t="shared" si="12"/>
        <v>  1,357 </v>
      </c>
      <c r="H79" s="351" t="str">
        <f t="shared" si="13"/>
        <v>  1,480 </v>
      </c>
    </row>
    <row r="80" ht="15.75" customHeight="1">
      <c r="A80" s="351" t="str">
        <f t="shared" si="6"/>
        <v> Maize</v>
      </c>
      <c r="B80" s="351" t="str">
        <f t="shared" si="7"/>
        <v>  -   </v>
      </c>
      <c r="C80" s="351" t="str">
        <f t="shared" si="8"/>
        <v>  -   </v>
      </c>
      <c r="D80" s="351" t="str">
        <f t="shared" si="9"/>
        <v>  -   </v>
      </c>
      <c r="E80" s="351" t="str">
        <f t="shared" si="10"/>
        <v>  -   </v>
      </c>
      <c r="F80" s="351" t="str">
        <f t="shared" si="11"/>
        <v>  -   </v>
      </c>
      <c r="G80" s="351" t="str">
        <f t="shared" si="12"/>
        <v>  -   </v>
      </c>
      <c r="H80" s="351" t="str">
        <f t="shared" si="13"/>
        <v>  -   </v>
      </c>
    </row>
    <row r="81" ht="15.75" customHeight="1">
      <c r="A81" s="351" t="str">
        <f t="shared" si="6"/>
        <v> Safflower</v>
      </c>
      <c r="B81" s="351" t="str">
        <f t="shared" si="7"/>
        <v>  -   </v>
      </c>
      <c r="C81" s="351" t="str">
        <f t="shared" si="8"/>
        <v>  -   </v>
      </c>
      <c r="D81" s="351" t="str">
        <f t="shared" si="9"/>
        <v>  -   </v>
      </c>
      <c r="E81" s="351" t="str">
        <f t="shared" si="10"/>
        <v>  -   </v>
      </c>
      <c r="F81" s="351" t="str">
        <f t="shared" si="11"/>
        <v>  -   </v>
      </c>
      <c r="G81" s="351" t="str">
        <f t="shared" si="12"/>
        <v>  -   </v>
      </c>
      <c r="H81" s="351" t="str">
        <f t="shared" si="13"/>
        <v>  -   </v>
      </c>
    </row>
    <row r="82" ht="15.75" customHeight="1">
      <c r="A82" s="351" t="str">
        <f t="shared" si="6"/>
        <v> Groundnut</v>
      </c>
      <c r="B82" s="351" t="str">
        <f t="shared" si="7"/>
        <v>  236 </v>
      </c>
      <c r="C82" s="351" t="str">
        <f t="shared" si="8"/>
        <v>  275 </v>
      </c>
      <c r="D82" s="351" t="str">
        <f t="shared" si="9"/>
        <v>  315 </v>
      </c>
      <c r="E82" s="351" t="str">
        <f t="shared" si="10"/>
        <v>  354 </v>
      </c>
      <c r="F82" s="351" t="str">
        <f t="shared" si="11"/>
        <v>  393 </v>
      </c>
      <c r="G82" s="351" t="str">
        <f t="shared" si="12"/>
        <v>  433 </v>
      </c>
      <c r="H82" s="351" t="str">
        <f t="shared" si="13"/>
        <v>  472 </v>
      </c>
    </row>
    <row r="83" ht="15.75" customHeight="1">
      <c r="A83" s="351" t="str">
        <f t="shared" si="6"/>
        <v/>
      </c>
      <c r="B83" s="351" t="str">
        <f t="shared" si="7"/>
        <v>  -   </v>
      </c>
      <c r="C83" s="351" t="str">
        <f t="shared" si="8"/>
        <v>  -   </v>
      </c>
      <c r="D83" s="351" t="str">
        <f t="shared" si="9"/>
        <v>  -   </v>
      </c>
      <c r="E83" s="351" t="str">
        <f t="shared" si="10"/>
        <v>  -   </v>
      </c>
      <c r="F83" s="351" t="str">
        <f t="shared" si="11"/>
        <v>  -   </v>
      </c>
      <c r="G83" s="351" t="str">
        <f t="shared" si="12"/>
        <v>  -   </v>
      </c>
      <c r="H83" s="351" t="str">
        <f t="shared" si="13"/>
        <v>  -   </v>
      </c>
    </row>
    <row r="84" ht="15.75" customHeight="1">
      <c r="A84" s="351" t="str">
        <f t="shared" si="6"/>
        <v/>
      </c>
      <c r="B84" s="351" t="str">
        <f t="shared" si="7"/>
        <v>  -   </v>
      </c>
      <c r="C84" s="351" t="str">
        <f t="shared" ref="C84:H84" si="14">C27*$B$63</f>
        <v>  -   </v>
      </c>
      <c r="D84" s="351" t="str">
        <f t="shared" si="14"/>
        <v>  -   </v>
      </c>
      <c r="E84" s="351" t="str">
        <f t="shared" si="14"/>
        <v>  -   </v>
      </c>
      <c r="F84" s="351" t="str">
        <f t="shared" si="14"/>
        <v>  -   </v>
      </c>
      <c r="G84" s="351" t="str">
        <f t="shared" si="14"/>
        <v>  -   </v>
      </c>
      <c r="H84" s="351" t="str">
        <f t="shared" si="14"/>
        <v>  -   </v>
      </c>
    </row>
    <row r="85" ht="15.75" customHeight="1">
      <c r="A85" s="351" t="str">
        <f t="shared" si="6"/>
        <v> Soybean</v>
      </c>
      <c r="B85" s="351" t="str">
        <f t="shared" si="7"/>
        <v>  55 </v>
      </c>
      <c r="C85" s="351" t="str">
        <f t="shared" ref="C85:H85" si="15">C28*$B$63</f>
        <v>  64 </v>
      </c>
      <c r="D85" s="351" t="str">
        <f t="shared" si="15"/>
        <v>  73 </v>
      </c>
      <c r="E85" s="351" t="str">
        <f t="shared" si="15"/>
        <v>  83 </v>
      </c>
      <c r="F85" s="351" t="str">
        <f t="shared" si="15"/>
        <v>  92 </v>
      </c>
      <c r="G85" s="351" t="str">
        <f t="shared" si="15"/>
        <v>  101 </v>
      </c>
      <c r="H85" s="351" t="str">
        <f t="shared" si="15"/>
        <v>  110 </v>
      </c>
    </row>
    <row r="86" ht="15.75" customHeight="1">
      <c r="A86" s="351" t="str">
        <f t="shared" si="6"/>
        <v/>
      </c>
      <c r="B86" s="351" t="str">
        <f t="shared" si="7"/>
        <v>  -   </v>
      </c>
      <c r="C86" s="351" t="str">
        <f t="shared" ref="C86:H86" si="16">C29*$B$63</f>
        <v>  -   </v>
      </c>
      <c r="D86" s="351" t="str">
        <f t="shared" si="16"/>
        <v>  -   </v>
      </c>
      <c r="E86" s="351" t="str">
        <f t="shared" si="16"/>
        <v>  -   </v>
      </c>
      <c r="F86" s="351" t="str">
        <f t="shared" si="16"/>
        <v>  -   </v>
      </c>
      <c r="G86" s="351" t="str">
        <f t="shared" si="16"/>
        <v>  -   </v>
      </c>
      <c r="H86" s="351" t="str">
        <f t="shared" si="16"/>
        <v>  -   </v>
      </c>
    </row>
    <row r="87" ht="15.75" customHeight="1">
      <c r="A87" s="351" t="str">
        <f t="shared" si="6"/>
        <v/>
      </c>
      <c r="B87" s="351" t="str">
        <f t="shared" si="7"/>
        <v>  -   </v>
      </c>
      <c r="C87" s="351" t="str">
        <f t="shared" ref="C87:H87" si="17">C30*$B$63</f>
        <v>  -   </v>
      </c>
      <c r="D87" s="351" t="str">
        <f t="shared" si="17"/>
        <v>  -   </v>
      </c>
      <c r="E87" s="351" t="str">
        <f t="shared" si="17"/>
        <v>  -   </v>
      </c>
      <c r="F87" s="351" t="str">
        <f t="shared" si="17"/>
        <v>  -   </v>
      </c>
      <c r="G87" s="351" t="str">
        <f t="shared" si="17"/>
        <v>  -   </v>
      </c>
      <c r="H87" s="351" t="str">
        <f t="shared" si="17"/>
        <v>  -   </v>
      </c>
    </row>
    <row r="88" ht="15.75" customHeight="1">
      <c r="A88" s="351" t="str">
        <f t="shared" si="6"/>
        <v/>
      </c>
      <c r="B88" s="351" t="str">
        <f t="shared" si="7"/>
        <v>  -   </v>
      </c>
      <c r="C88" s="351" t="str">
        <f t="shared" ref="C88:H88" si="18">C31*$B$63</f>
        <v>  -   </v>
      </c>
      <c r="D88" s="351" t="str">
        <f t="shared" si="18"/>
        <v>  -   </v>
      </c>
      <c r="E88" s="351" t="str">
        <f t="shared" si="18"/>
        <v>  -   </v>
      </c>
      <c r="F88" s="351" t="str">
        <f t="shared" si="18"/>
        <v>  -   </v>
      </c>
      <c r="G88" s="351" t="str">
        <f t="shared" si="18"/>
        <v>  -   </v>
      </c>
      <c r="H88" s="351" t="str">
        <f t="shared" si="18"/>
        <v>  -   </v>
      </c>
    </row>
    <row r="89" ht="15.75" customHeight="1">
      <c r="A89" s="351" t="str">
        <f t="shared" si="6"/>
        <v/>
      </c>
      <c r="B89" s="351" t="str">
        <f t="shared" si="7"/>
        <v>  -   </v>
      </c>
      <c r="C89" s="351" t="str">
        <f t="shared" ref="C89:H89" si="19">C32*$B$63</f>
        <v>  -   </v>
      </c>
      <c r="D89" s="351" t="str">
        <f t="shared" si="19"/>
        <v>  -   </v>
      </c>
      <c r="E89" s="351" t="str">
        <f t="shared" si="19"/>
        <v>  -   </v>
      </c>
      <c r="F89" s="351" t="str">
        <f t="shared" si="19"/>
        <v>  -   </v>
      </c>
      <c r="G89" s="351" t="str">
        <f t="shared" si="19"/>
        <v>  -   </v>
      </c>
      <c r="H89" s="351" t="str">
        <f t="shared" si="19"/>
        <v>  -   </v>
      </c>
    </row>
    <row r="90" ht="15.75" customHeight="1">
      <c r="A90" s="85"/>
      <c r="B90" s="351"/>
      <c r="C90" s="351"/>
      <c r="D90" s="351"/>
      <c r="E90" s="351"/>
      <c r="F90" s="351"/>
      <c r="G90" s="351"/>
      <c r="H90" s="351"/>
      <c r="J90" s="70"/>
      <c r="K90" s="70"/>
      <c r="L90" s="70"/>
    </row>
    <row r="91" ht="15.75" customHeight="1">
      <c r="A91" s="351" t="str">
        <f t="shared" ref="A91:A116" si="20">A34</f>
        <v> Fruit  &amp; Vegetables Crop Production Details</v>
      </c>
      <c r="B91" s="351"/>
      <c r="C91" s="351"/>
      <c r="D91" s="351"/>
      <c r="E91" s="351"/>
      <c r="F91" s="351"/>
      <c r="G91" s="351"/>
      <c r="H91" s="351"/>
      <c r="J91" s="70"/>
      <c r="K91" s="70"/>
      <c r="L91" s="70"/>
    </row>
    <row r="92" ht="15.75" customHeight="1">
      <c r="A92" s="351" t="str">
        <f t="shared" si="20"/>
        <v> Onion</v>
      </c>
      <c r="B92" s="351" t="str">
        <f t="shared" ref="B92:H92" si="21">B35</f>
        <v>  -   </v>
      </c>
      <c r="C92" s="351" t="str">
        <f t="shared" si="21"/>
        <v>  -   </v>
      </c>
      <c r="D92" s="351" t="str">
        <f t="shared" si="21"/>
        <v>  -   </v>
      </c>
      <c r="E92" s="351" t="str">
        <f t="shared" si="21"/>
        <v>  -   </v>
      </c>
      <c r="F92" s="351" t="str">
        <f t="shared" si="21"/>
        <v>  -   </v>
      </c>
      <c r="G92" s="351" t="str">
        <f t="shared" si="21"/>
        <v>  -   </v>
      </c>
      <c r="H92" s="351" t="str">
        <f t="shared" si="21"/>
        <v>  -   </v>
      </c>
      <c r="J92" s="70"/>
      <c r="K92" s="70"/>
      <c r="L92" s="70"/>
    </row>
    <row r="93" ht="15.75" customHeight="1">
      <c r="A93" s="351" t="str">
        <f t="shared" si="20"/>
        <v> Tomato</v>
      </c>
      <c r="B93" s="351" t="str">
        <f t="shared" ref="B93:H93" si="22">B36</f>
        <v>  -   </v>
      </c>
      <c r="C93" s="351" t="str">
        <f t="shared" si="22"/>
        <v>  -   </v>
      </c>
      <c r="D93" s="351" t="str">
        <f t="shared" si="22"/>
        <v>  -   </v>
      </c>
      <c r="E93" s="351" t="str">
        <f t="shared" si="22"/>
        <v>  -   </v>
      </c>
      <c r="F93" s="351" t="str">
        <f t="shared" si="22"/>
        <v>  -   </v>
      </c>
      <c r="G93" s="351" t="str">
        <f t="shared" si="22"/>
        <v>  -   </v>
      </c>
      <c r="H93" s="351" t="str">
        <f t="shared" si="22"/>
        <v>  -   </v>
      </c>
      <c r="J93" s="70"/>
      <c r="K93" s="70"/>
      <c r="L93" s="70"/>
    </row>
    <row r="94" ht="15.75" customHeight="1">
      <c r="A94" s="351" t="str">
        <f t="shared" si="20"/>
        <v> Okra</v>
      </c>
      <c r="B94" s="351" t="str">
        <f t="shared" ref="B94:H94" si="23">B37</f>
        <v>  -   </v>
      </c>
      <c r="C94" s="351" t="str">
        <f t="shared" si="23"/>
        <v>  -   </v>
      </c>
      <c r="D94" s="351" t="str">
        <f t="shared" si="23"/>
        <v>  -   </v>
      </c>
      <c r="E94" s="351" t="str">
        <f t="shared" si="23"/>
        <v>  -   </v>
      </c>
      <c r="F94" s="351" t="str">
        <f t="shared" si="23"/>
        <v>  -   </v>
      </c>
      <c r="G94" s="351" t="str">
        <f t="shared" si="23"/>
        <v>  -   </v>
      </c>
      <c r="H94" s="351" t="str">
        <f t="shared" si="23"/>
        <v>  -   </v>
      </c>
      <c r="J94" s="70"/>
      <c r="K94" s="70"/>
      <c r="L94" s="70"/>
    </row>
    <row r="95" ht="15.75" customHeight="1">
      <c r="A95" s="351" t="str">
        <f t="shared" si="20"/>
        <v> Chilli</v>
      </c>
      <c r="B95" s="351" t="str">
        <f t="shared" ref="B95:H95" si="24">B38</f>
        <v>  -   </v>
      </c>
      <c r="C95" s="351" t="str">
        <f t="shared" si="24"/>
        <v>  -   </v>
      </c>
      <c r="D95" s="351" t="str">
        <f t="shared" si="24"/>
        <v>  -   </v>
      </c>
      <c r="E95" s="351" t="str">
        <f t="shared" si="24"/>
        <v>  -   </v>
      </c>
      <c r="F95" s="351" t="str">
        <f t="shared" si="24"/>
        <v>  -   </v>
      </c>
      <c r="G95" s="351" t="str">
        <f t="shared" si="24"/>
        <v>  -   </v>
      </c>
      <c r="H95" s="351" t="str">
        <f t="shared" si="24"/>
        <v>  -   </v>
      </c>
      <c r="J95" s="70"/>
      <c r="K95" s="70"/>
      <c r="L95" s="70"/>
    </row>
    <row r="96" ht="15.75" customHeight="1">
      <c r="A96" s="351" t="str">
        <f t="shared" si="20"/>
        <v> Potato</v>
      </c>
      <c r="B96" s="351" t="str">
        <f t="shared" ref="B96:H96" si="25">B39</f>
        <v>  -   </v>
      </c>
      <c r="C96" s="351" t="str">
        <f t="shared" si="25"/>
        <v>  -   </v>
      </c>
      <c r="D96" s="351" t="str">
        <f t="shared" si="25"/>
        <v>  -   </v>
      </c>
      <c r="E96" s="351" t="str">
        <f t="shared" si="25"/>
        <v>  -   </v>
      </c>
      <c r="F96" s="351" t="str">
        <f t="shared" si="25"/>
        <v>  -   </v>
      </c>
      <c r="G96" s="351" t="str">
        <f t="shared" si="25"/>
        <v>  -   </v>
      </c>
      <c r="H96" s="351" t="str">
        <f t="shared" si="25"/>
        <v>  -   </v>
      </c>
      <c r="J96" s="70"/>
      <c r="K96" s="70"/>
      <c r="L96" s="70"/>
    </row>
    <row r="97" ht="15.75" customHeight="1">
      <c r="A97" s="351" t="str">
        <f t="shared" si="20"/>
        <v/>
      </c>
      <c r="B97" s="351" t="str">
        <f t="shared" ref="B97:H97" si="26">B40</f>
        <v>  -   </v>
      </c>
      <c r="C97" s="351" t="str">
        <f t="shared" si="26"/>
        <v>  -   </v>
      </c>
      <c r="D97" s="351" t="str">
        <f t="shared" si="26"/>
        <v>  -   </v>
      </c>
      <c r="E97" s="351" t="str">
        <f t="shared" si="26"/>
        <v>  -   </v>
      </c>
      <c r="F97" s="351" t="str">
        <f t="shared" si="26"/>
        <v>  -   </v>
      </c>
      <c r="G97" s="351" t="str">
        <f t="shared" si="26"/>
        <v>  -   </v>
      </c>
      <c r="H97" s="351" t="str">
        <f t="shared" si="26"/>
        <v>  -   </v>
      </c>
      <c r="J97" s="70"/>
      <c r="K97" s="70"/>
      <c r="L97" s="70"/>
    </row>
    <row r="98" ht="15.75" customHeight="1">
      <c r="A98" s="351" t="str">
        <f t="shared" si="20"/>
        <v/>
      </c>
      <c r="B98" s="351" t="str">
        <f t="shared" ref="B98:H98" si="27">B41</f>
        <v>  -   </v>
      </c>
      <c r="C98" s="351" t="str">
        <f t="shared" si="27"/>
        <v>  -   </v>
      </c>
      <c r="D98" s="351" t="str">
        <f t="shared" si="27"/>
        <v>  -   </v>
      </c>
      <c r="E98" s="351" t="str">
        <f t="shared" si="27"/>
        <v>  -   </v>
      </c>
      <c r="F98" s="351" t="str">
        <f t="shared" si="27"/>
        <v>  -   </v>
      </c>
      <c r="G98" s="351" t="str">
        <f t="shared" si="27"/>
        <v>  -   </v>
      </c>
      <c r="H98" s="351" t="str">
        <f t="shared" si="27"/>
        <v>  -   </v>
      </c>
      <c r="J98" s="70"/>
      <c r="K98" s="70"/>
      <c r="L98" s="70"/>
    </row>
    <row r="99" ht="15.75" customHeight="1">
      <c r="A99" s="351" t="str">
        <f t="shared" si="20"/>
        <v/>
      </c>
      <c r="B99" s="351" t="str">
        <f t="shared" ref="B99:H99" si="28">B42</f>
        <v>  -   </v>
      </c>
      <c r="C99" s="351" t="str">
        <f t="shared" si="28"/>
        <v>  -   </v>
      </c>
      <c r="D99" s="351" t="str">
        <f t="shared" si="28"/>
        <v>  -   </v>
      </c>
      <c r="E99" s="351" t="str">
        <f t="shared" si="28"/>
        <v>  -   </v>
      </c>
      <c r="F99" s="351" t="str">
        <f t="shared" si="28"/>
        <v>  -   </v>
      </c>
      <c r="G99" s="351" t="str">
        <f t="shared" si="28"/>
        <v>  -   </v>
      </c>
      <c r="H99" s="351" t="str">
        <f t="shared" si="28"/>
        <v>  -   </v>
      </c>
      <c r="J99" s="70"/>
      <c r="K99" s="70"/>
      <c r="L99" s="70"/>
    </row>
    <row r="100" ht="15.75" customHeight="1">
      <c r="A100" s="351" t="str">
        <f t="shared" si="20"/>
        <v/>
      </c>
      <c r="B100" s="351" t="str">
        <f t="shared" ref="B100:H100" si="29">B43</f>
        <v>  -   </v>
      </c>
      <c r="C100" s="351" t="str">
        <f t="shared" si="29"/>
        <v>  -   </v>
      </c>
      <c r="D100" s="351" t="str">
        <f t="shared" si="29"/>
        <v>  -   </v>
      </c>
      <c r="E100" s="351" t="str">
        <f t="shared" si="29"/>
        <v>  -   </v>
      </c>
      <c r="F100" s="351" t="str">
        <f t="shared" si="29"/>
        <v>  -   </v>
      </c>
      <c r="G100" s="351" t="str">
        <f t="shared" si="29"/>
        <v>  -   </v>
      </c>
      <c r="H100" s="351" t="str">
        <f t="shared" si="29"/>
        <v>  -   </v>
      </c>
      <c r="J100" s="70"/>
      <c r="K100" s="70"/>
      <c r="L100" s="70"/>
    </row>
    <row r="101" ht="15.75" customHeight="1">
      <c r="A101" s="351" t="str">
        <f t="shared" si="20"/>
        <v> Onion</v>
      </c>
      <c r="B101" s="351" t="str">
        <f t="shared" ref="B101:H101" si="30">B44</f>
        <v>  -   </v>
      </c>
      <c r="C101" s="351" t="str">
        <f t="shared" si="30"/>
        <v>  -   </v>
      </c>
      <c r="D101" s="351" t="str">
        <f t="shared" si="30"/>
        <v>  -   </v>
      </c>
      <c r="E101" s="351" t="str">
        <f t="shared" si="30"/>
        <v>  -   </v>
      </c>
      <c r="F101" s="351" t="str">
        <f t="shared" si="30"/>
        <v>  -   </v>
      </c>
      <c r="G101" s="351" t="str">
        <f t="shared" si="30"/>
        <v>  -   </v>
      </c>
      <c r="H101" s="351" t="str">
        <f t="shared" si="30"/>
        <v>  -   </v>
      </c>
      <c r="J101" s="70"/>
      <c r="K101" s="70"/>
      <c r="L101" s="70"/>
    </row>
    <row r="102" ht="15.75" customHeight="1">
      <c r="A102" s="351" t="str">
        <f t="shared" si="20"/>
        <v> Tomato</v>
      </c>
      <c r="B102" s="351" t="str">
        <f t="shared" ref="B102:H102" si="31">B45</f>
        <v>  -   </v>
      </c>
      <c r="C102" s="351" t="str">
        <f t="shared" si="31"/>
        <v>  -   </v>
      </c>
      <c r="D102" s="351" t="str">
        <f t="shared" si="31"/>
        <v>  -   </v>
      </c>
      <c r="E102" s="351" t="str">
        <f t="shared" si="31"/>
        <v>  -   </v>
      </c>
      <c r="F102" s="351" t="str">
        <f t="shared" si="31"/>
        <v>  -   </v>
      </c>
      <c r="G102" s="351" t="str">
        <f t="shared" si="31"/>
        <v>  -   </v>
      </c>
      <c r="H102" s="351" t="str">
        <f t="shared" si="31"/>
        <v>  -   </v>
      </c>
      <c r="J102" s="70"/>
      <c r="K102" s="70"/>
      <c r="L102" s="70"/>
    </row>
    <row r="103" ht="15.75" customHeight="1">
      <c r="A103" s="351" t="str">
        <f t="shared" si="20"/>
        <v> Okra</v>
      </c>
      <c r="B103" s="351" t="str">
        <f t="shared" ref="B103:H103" si="32">B46</f>
        <v>  -   </v>
      </c>
      <c r="C103" s="351" t="str">
        <f t="shared" si="32"/>
        <v>  -   </v>
      </c>
      <c r="D103" s="351" t="str">
        <f t="shared" si="32"/>
        <v>  -   </v>
      </c>
      <c r="E103" s="351" t="str">
        <f t="shared" si="32"/>
        <v>  -   </v>
      </c>
      <c r="F103" s="351" t="str">
        <f t="shared" si="32"/>
        <v>  -   </v>
      </c>
      <c r="G103" s="351" t="str">
        <f t="shared" si="32"/>
        <v>  -   </v>
      </c>
      <c r="H103" s="351" t="str">
        <f t="shared" si="32"/>
        <v>  -   </v>
      </c>
      <c r="J103" s="70"/>
      <c r="K103" s="70"/>
      <c r="L103" s="70"/>
    </row>
    <row r="104" ht="15.75" customHeight="1">
      <c r="A104" s="351" t="str">
        <f t="shared" si="20"/>
        <v> Chilli</v>
      </c>
      <c r="B104" s="351" t="str">
        <f t="shared" ref="B104:H104" si="33">B47</f>
        <v>  -   </v>
      </c>
      <c r="C104" s="351" t="str">
        <f t="shared" si="33"/>
        <v>  -   </v>
      </c>
      <c r="D104" s="351" t="str">
        <f t="shared" si="33"/>
        <v>  -   </v>
      </c>
      <c r="E104" s="351" t="str">
        <f t="shared" si="33"/>
        <v>  -   </v>
      </c>
      <c r="F104" s="351" t="str">
        <f t="shared" si="33"/>
        <v>  -   </v>
      </c>
      <c r="G104" s="351" t="str">
        <f t="shared" si="33"/>
        <v>  -   </v>
      </c>
      <c r="H104" s="351" t="str">
        <f t="shared" si="33"/>
        <v>  -   </v>
      </c>
      <c r="J104" s="70"/>
      <c r="K104" s="70"/>
      <c r="L104" s="70"/>
    </row>
    <row r="105" ht="15.75" customHeight="1">
      <c r="A105" s="351" t="str">
        <f t="shared" si="20"/>
        <v> Brinjal</v>
      </c>
      <c r="B105" s="351" t="str">
        <f t="shared" ref="B105:H105" si="34">B48</f>
        <v>  -   </v>
      </c>
      <c r="C105" s="351" t="str">
        <f t="shared" si="34"/>
        <v>  -   </v>
      </c>
      <c r="D105" s="351" t="str">
        <f t="shared" si="34"/>
        <v>  -   </v>
      </c>
      <c r="E105" s="351" t="str">
        <f t="shared" si="34"/>
        <v>  -   </v>
      </c>
      <c r="F105" s="351" t="str">
        <f t="shared" si="34"/>
        <v>  -   </v>
      </c>
      <c r="G105" s="351" t="str">
        <f t="shared" si="34"/>
        <v>  -   </v>
      </c>
      <c r="H105" s="351" t="str">
        <f t="shared" si="34"/>
        <v>  -   </v>
      </c>
      <c r="J105" s="70"/>
      <c r="K105" s="70"/>
      <c r="L105" s="70"/>
    </row>
    <row r="106" ht="15.75" customHeight="1">
      <c r="A106" s="351" t="str">
        <f t="shared" si="20"/>
        <v/>
      </c>
      <c r="B106" s="351" t="str">
        <f t="shared" ref="B106:H106" si="35">B49</f>
        <v>  -   </v>
      </c>
      <c r="C106" s="351" t="str">
        <f t="shared" si="35"/>
        <v>  -   </v>
      </c>
      <c r="D106" s="351" t="str">
        <f t="shared" si="35"/>
        <v>  -   </v>
      </c>
      <c r="E106" s="351" t="str">
        <f t="shared" si="35"/>
        <v>  -   </v>
      </c>
      <c r="F106" s="351" t="str">
        <f t="shared" si="35"/>
        <v>  -   </v>
      </c>
      <c r="G106" s="351" t="str">
        <f t="shared" si="35"/>
        <v>  -   </v>
      </c>
      <c r="H106" s="351" t="str">
        <f t="shared" si="35"/>
        <v>  -   </v>
      </c>
      <c r="J106" s="70"/>
      <c r="K106" s="70"/>
      <c r="L106" s="70"/>
    </row>
    <row r="107" ht="15.75" customHeight="1">
      <c r="A107" s="351" t="str">
        <f t="shared" si="20"/>
        <v/>
      </c>
      <c r="B107" s="351" t="str">
        <f t="shared" ref="B107:H107" si="36">B50</f>
        <v>  -   </v>
      </c>
      <c r="C107" s="351" t="str">
        <f t="shared" si="36"/>
        <v>  -   </v>
      </c>
      <c r="D107" s="351" t="str">
        <f t="shared" si="36"/>
        <v>  -   </v>
      </c>
      <c r="E107" s="351" t="str">
        <f t="shared" si="36"/>
        <v>  -   </v>
      </c>
      <c r="F107" s="351" t="str">
        <f t="shared" si="36"/>
        <v>  -   </v>
      </c>
      <c r="G107" s="351" t="str">
        <f t="shared" si="36"/>
        <v>  -   </v>
      </c>
      <c r="H107" s="351" t="str">
        <f t="shared" si="36"/>
        <v>  -   </v>
      </c>
      <c r="J107" s="70"/>
      <c r="K107" s="70"/>
      <c r="L107" s="70"/>
    </row>
    <row r="108" ht="15.75" customHeight="1">
      <c r="A108" s="351" t="str">
        <f t="shared" si="20"/>
        <v/>
      </c>
      <c r="B108" s="351" t="str">
        <f t="shared" ref="B108:H108" si="37">B51</f>
        <v>  -   </v>
      </c>
      <c r="C108" s="351" t="str">
        <f t="shared" si="37"/>
        <v>  -   </v>
      </c>
      <c r="D108" s="351" t="str">
        <f t="shared" si="37"/>
        <v>  -   </v>
      </c>
      <c r="E108" s="351" t="str">
        <f t="shared" si="37"/>
        <v>  -   </v>
      </c>
      <c r="F108" s="351" t="str">
        <f t="shared" si="37"/>
        <v>  -   </v>
      </c>
      <c r="G108" s="351" t="str">
        <f t="shared" si="37"/>
        <v>  -   </v>
      </c>
      <c r="H108" s="351" t="str">
        <f t="shared" si="37"/>
        <v>  -   </v>
      </c>
      <c r="J108" s="70"/>
      <c r="K108" s="70"/>
      <c r="L108" s="70"/>
    </row>
    <row r="109" ht="15.75" customHeight="1">
      <c r="A109" s="351" t="str">
        <f t="shared" si="20"/>
        <v/>
      </c>
      <c r="B109" s="351" t="str">
        <f t="shared" ref="B109:H109" si="38">B52</f>
        <v>  -   </v>
      </c>
      <c r="C109" s="351" t="str">
        <f t="shared" si="38"/>
        <v>  -   </v>
      </c>
      <c r="D109" s="351" t="str">
        <f t="shared" si="38"/>
        <v>  -   </v>
      </c>
      <c r="E109" s="351" t="str">
        <f t="shared" si="38"/>
        <v>  -   </v>
      </c>
      <c r="F109" s="351" t="str">
        <f t="shared" si="38"/>
        <v>  -   </v>
      </c>
      <c r="G109" s="351" t="str">
        <f t="shared" si="38"/>
        <v>  -   </v>
      </c>
      <c r="H109" s="351" t="str">
        <f t="shared" si="38"/>
        <v>  -   </v>
      </c>
      <c r="J109" s="70"/>
      <c r="K109" s="70"/>
      <c r="L109" s="70"/>
    </row>
    <row r="110" ht="15.75" customHeight="1">
      <c r="A110" s="351" t="str">
        <f t="shared" si="20"/>
        <v/>
      </c>
      <c r="B110" s="351"/>
      <c r="C110" s="351"/>
      <c r="D110" s="351"/>
      <c r="E110" s="351"/>
      <c r="F110" s="351"/>
      <c r="G110" s="351"/>
      <c r="H110" s="351"/>
      <c r="J110" s="70"/>
      <c r="K110" s="70"/>
      <c r="L110" s="70"/>
    </row>
    <row r="111" ht="15.75" customHeight="1">
      <c r="A111" s="351" t="str">
        <f t="shared" si="20"/>
        <v/>
      </c>
      <c r="B111" s="351"/>
      <c r="C111" s="351"/>
      <c r="D111" s="351"/>
      <c r="E111" s="351"/>
      <c r="F111" s="351"/>
      <c r="G111" s="351"/>
      <c r="H111" s="351"/>
      <c r="J111" s="70"/>
      <c r="K111" s="70"/>
      <c r="L111" s="70"/>
    </row>
    <row r="112" ht="15.75" customHeight="1">
      <c r="A112" s="351" t="str">
        <f t="shared" si="20"/>
        <v/>
      </c>
      <c r="B112" s="351"/>
      <c r="C112" s="351"/>
      <c r="D112" s="351"/>
      <c r="E112" s="351"/>
      <c r="F112" s="351"/>
      <c r="G112" s="351"/>
      <c r="H112" s="351"/>
      <c r="J112" s="70"/>
      <c r="K112" s="70"/>
      <c r="L112" s="70"/>
    </row>
    <row r="113" ht="15.75" customHeight="1">
      <c r="A113" s="351" t="str">
        <f t="shared" si="20"/>
        <v> Pomegranate</v>
      </c>
      <c r="B113" s="351" t="str">
        <f t="shared" ref="B113:H113" si="39">B56</f>
        <v>  -   </v>
      </c>
      <c r="C113" s="351" t="str">
        <f t="shared" si="39"/>
        <v>  -   </v>
      </c>
      <c r="D113" s="351" t="str">
        <f t="shared" si="39"/>
        <v>  -   </v>
      </c>
      <c r="E113" s="351" t="str">
        <f t="shared" si="39"/>
        <v>  -   </v>
      </c>
      <c r="F113" s="351" t="str">
        <f t="shared" si="39"/>
        <v>  -   </v>
      </c>
      <c r="G113" s="351" t="str">
        <f t="shared" si="39"/>
        <v>  -   </v>
      </c>
      <c r="H113" s="351" t="str">
        <f t="shared" si="39"/>
        <v>  -   </v>
      </c>
      <c r="J113" s="70"/>
      <c r="K113" s="70"/>
      <c r="L113" s="70"/>
    </row>
    <row r="114" ht="15.75" customHeight="1">
      <c r="A114" s="351" t="str">
        <f t="shared" si="20"/>
        <v> Custard Apple</v>
      </c>
      <c r="B114" s="351" t="str">
        <f t="shared" ref="B114:H114" si="40">B57</f>
        <v>  -   </v>
      </c>
      <c r="C114" s="351" t="str">
        <f t="shared" si="40"/>
        <v>  -   </v>
      </c>
      <c r="D114" s="351" t="str">
        <f t="shared" si="40"/>
        <v>  -   </v>
      </c>
      <c r="E114" s="351" t="str">
        <f t="shared" si="40"/>
        <v>  -   </v>
      </c>
      <c r="F114" s="351" t="str">
        <f t="shared" si="40"/>
        <v>  -   </v>
      </c>
      <c r="G114" s="351" t="str">
        <f t="shared" si="40"/>
        <v>  -   </v>
      </c>
      <c r="H114" s="351" t="str">
        <f t="shared" si="40"/>
        <v>  -   </v>
      </c>
      <c r="J114" s="70"/>
      <c r="K114" s="70"/>
      <c r="L114" s="70"/>
    </row>
    <row r="115" ht="15.75" customHeight="1">
      <c r="A115" s="351" t="str">
        <f t="shared" si="20"/>
        <v> Guava</v>
      </c>
      <c r="B115" s="351" t="str">
        <f t="shared" ref="B115:H115" si="41">B58</f>
        <v>  -   </v>
      </c>
      <c r="C115" s="351" t="str">
        <f t="shared" si="41"/>
        <v>  -   </v>
      </c>
      <c r="D115" s="351" t="str">
        <f t="shared" si="41"/>
        <v>  -   </v>
      </c>
      <c r="E115" s="351" t="str">
        <f t="shared" si="41"/>
        <v>  -   </v>
      </c>
      <c r="F115" s="351" t="str">
        <f t="shared" si="41"/>
        <v>  -   </v>
      </c>
      <c r="G115" s="351" t="str">
        <f t="shared" si="41"/>
        <v>  -   </v>
      </c>
      <c r="H115" s="351" t="str">
        <f t="shared" si="41"/>
        <v>  -   </v>
      </c>
      <c r="J115" s="70"/>
      <c r="K115" s="70"/>
      <c r="L115" s="70"/>
    </row>
    <row r="116" ht="15.75" customHeight="1">
      <c r="A116" s="351" t="str">
        <f t="shared" si="20"/>
        <v> Citrus</v>
      </c>
      <c r="B116" s="351" t="str">
        <f t="shared" ref="B116:H116" si="42">B59</f>
        <v>  -   </v>
      </c>
      <c r="C116" s="351" t="str">
        <f t="shared" si="42"/>
        <v>  -   </v>
      </c>
      <c r="D116" s="351" t="str">
        <f t="shared" si="42"/>
        <v>  -   </v>
      </c>
      <c r="E116" s="351" t="str">
        <f t="shared" si="42"/>
        <v>  -   </v>
      </c>
      <c r="F116" s="351" t="str">
        <f t="shared" si="42"/>
        <v>  -   </v>
      </c>
      <c r="G116" s="351" t="str">
        <f t="shared" si="42"/>
        <v>  -   </v>
      </c>
      <c r="H116" s="351" t="str">
        <f t="shared" si="42"/>
        <v>  -   </v>
      </c>
      <c r="J116" s="70"/>
      <c r="K116" s="70"/>
      <c r="L116" s="70"/>
    </row>
    <row r="117" ht="15.75" customHeight="1">
      <c r="A117" s="85"/>
      <c r="B117" s="351"/>
      <c r="C117" s="351"/>
      <c r="D117" s="351"/>
      <c r="E117" s="351"/>
      <c r="F117" s="351"/>
      <c r="G117" s="351"/>
      <c r="H117" s="351"/>
      <c r="J117" s="70"/>
      <c r="K117" s="70"/>
      <c r="L117" s="70"/>
    </row>
    <row r="118" ht="15.75" customHeight="1">
      <c r="A118" s="85"/>
      <c r="B118" s="351"/>
      <c r="C118" s="351"/>
      <c r="D118" s="351"/>
      <c r="E118" s="351"/>
      <c r="F118" s="351"/>
      <c r="G118" s="351"/>
      <c r="H118" s="351"/>
      <c r="J118" s="70"/>
      <c r="K118" s="70"/>
      <c r="L118" s="70"/>
    </row>
    <row r="119" ht="15.75" customHeight="1">
      <c r="A119" s="117" t="s">
        <v>614</v>
      </c>
      <c r="B119" s="85"/>
      <c r="C119" s="85"/>
      <c r="D119" s="85"/>
      <c r="E119" s="85"/>
      <c r="F119" s="85"/>
      <c r="G119" s="85"/>
      <c r="H119" s="85"/>
    </row>
    <row r="120" ht="15.75" customHeight="1">
      <c r="A120" s="351" t="str">
        <f t="shared" ref="A120:A141" si="44">A68</f>
        <v> Soybean</v>
      </c>
      <c r="B120" s="346" t="str">
        <f t="shared" ref="B120:H120" si="43">B68-(B68*$G$6)</f>
        <v>  12,972.09 </v>
      </c>
      <c r="C120" s="346" t="str">
        <f t="shared" si="43"/>
        <v>  15,134.10 </v>
      </c>
      <c r="D120" s="346" t="str">
        <f t="shared" si="43"/>
        <v>  17,296.12 </v>
      </c>
      <c r="E120" s="346" t="str">
        <f t="shared" si="43"/>
        <v>  19,458.13 </v>
      </c>
      <c r="F120" s="346" t="str">
        <f t="shared" si="43"/>
        <v>  21,620.15 </v>
      </c>
      <c r="G120" s="346" t="str">
        <f t="shared" si="43"/>
        <v>  23,782.16 </v>
      </c>
      <c r="H120" s="346" t="str">
        <f t="shared" si="43"/>
        <v>  25,944.18 </v>
      </c>
    </row>
    <row r="121" ht="15.75" customHeight="1">
      <c r="A121" s="351" t="str">
        <f t="shared" si="44"/>
        <v> Redgram</v>
      </c>
      <c r="B121" s="346" t="str">
        <f t="shared" ref="B121:H121" si="45">B69-(B69*$G$6)</f>
        <v>  732.23 </v>
      </c>
      <c r="C121" s="346" t="str">
        <f t="shared" si="45"/>
        <v>  854.27 </v>
      </c>
      <c r="D121" s="346" t="str">
        <f t="shared" si="45"/>
        <v>  976.31 </v>
      </c>
      <c r="E121" s="346" t="str">
        <f t="shared" si="45"/>
        <v>  1,098.35 </v>
      </c>
      <c r="F121" s="346" t="str">
        <f t="shared" si="45"/>
        <v>  1,220.39 </v>
      </c>
      <c r="G121" s="346" t="str">
        <f t="shared" si="45"/>
        <v>  1,342.43 </v>
      </c>
      <c r="H121" s="346" t="str">
        <f t="shared" si="45"/>
        <v>  1,464.47 </v>
      </c>
    </row>
    <row r="122" ht="15.75" customHeight="1">
      <c r="A122" s="351" t="str">
        <f t="shared" si="44"/>
        <v> Turmeric</v>
      </c>
      <c r="B122" s="346" t="str">
        <f t="shared" ref="B122:H122" si="46">B70-(B70*$G$6)</f>
        <v>  1,541.54 </v>
      </c>
      <c r="C122" s="346" t="str">
        <f t="shared" si="46"/>
        <v>  1,798.47 </v>
      </c>
      <c r="D122" s="346" t="str">
        <f t="shared" si="46"/>
        <v>  2,055.39 </v>
      </c>
      <c r="E122" s="346" t="str">
        <f t="shared" si="46"/>
        <v>  2,312.32 </v>
      </c>
      <c r="F122" s="346" t="str">
        <f t="shared" si="46"/>
        <v>  2,569.24 </v>
      </c>
      <c r="G122" s="346" t="str">
        <f t="shared" si="46"/>
        <v>  2,826.16 </v>
      </c>
      <c r="H122" s="346" t="str">
        <f t="shared" si="46"/>
        <v>  3,083.09 </v>
      </c>
    </row>
    <row r="123" ht="15.75" customHeight="1">
      <c r="A123" s="351" t="str">
        <f t="shared" si="44"/>
        <v> Bengalgram</v>
      </c>
      <c r="B123" s="346" t="str">
        <f t="shared" ref="B123:H123" si="47">B71-(B71*$G$6)</f>
        <v>  534.14 </v>
      </c>
      <c r="C123" s="346" t="str">
        <f t="shared" si="47"/>
        <v>  623.17 </v>
      </c>
      <c r="D123" s="346" t="str">
        <f t="shared" si="47"/>
        <v>  712.19 </v>
      </c>
      <c r="E123" s="346" t="str">
        <f t="shared" si="47"/>
        <v>  801.22 </v>
      </c>
      <c r="F123" s="346" t="str">
        <f t="shared" si="47"/>
        <v>  890.24 </v>
      </c>
      <c r="G123" s="346" t="str">
        <f t="shared" si="47"/>
        <v>  979.27 </v>
      </c>
      <c r="H123" s="346" t="str">
        <f t="shared" si="47"/>
        <v>  1,068.29 </v>
      </c>
    </row>
    <row r="124" ht="15.75" customHeight="1">
      <c r="A124" s="351" t="str">
        <f t="shared" si="44"/>
        <v> Channa</v>
      </c>
      <c r="B124" s="346" t="str">
        <f t="shared" ref="B124:H124" si="48">B72-(B72*$G$6)</f>
        <v>  -   </v>
      </c>
      <c r="C124" s="346" t="str">
        <f t="shared" si="48"/>
        <v>  -   </v>
      </c>
      <c r="D124" s="346" t="str">
        <f t="shared" si="48"/>
        <v>  -   </v>
      </c>
      <c r="E124" s="346" t="str">
        <f t="shared" si="48"/>
        <v>  -   </v>
      </c>
      <c r="F124" s="346" t="str">
        <f t="shared" si="48"/>
        <v>  -   </v>
      </c>
      <c r="G124" s="346" t="str">
        <f t="shared" si="48"/>
        <v>  -   </v>
      </c>
      <c r="H124" s="346" t="str">
        <f t="shared" si="48"/>
        <v>  -   </v>
      </c>
    </row>
    <row r="125" ht="15.75" customHeight="1">
      <c r="A125" s="351" t="str">
        <f t="shared" si="44"/>
        <v> Udid</v>
      </c>
      <c r="B125" s="346" t="str">
        <f t="shared" ref="B125:H125" si="49">B73-(B73*$G$6)</f>
        <v>  -   </v>
      </c>
      <c r="C125" s="346" t="str">
        <f t="shared" si="49"/>
        <v>  -   </v>
      </c>
      <c r="D125" s="346" t="str">
        <f t="shared" si="49"/>
        <v>  -   </v>
      </c>
      <c r="E125" s="346" t="str">
        <f t="shared" si="49"/>
        <v>  -   </v>
      </c>
      <c r="F125" s="346" t="str">
        <f t="shared" si="49"/>
        <v>  -   </v>
      </c>
      <c r="G125" s="346" t="str">
        <f t="shared" si="49"/>
        <v>  -   </v>
      </c>
      <c r="H125" s="346" t="str">
        <f t="shared" si="49"/>
        <v>  -   </v>
      </c>
    </row>
    <row r="126" ht="15.75" customHeight="1">
      <c r="A126" s="351" t="str">
        <f t="shared" si="44"/>
        <v> Bajra</v>
      </c>
      <c r="B126" s="346" t="str">
        <f t="shared" ref="B126:H126" si="50">B74-(B74*$G$6)</f>
        <v>  -   </v>
      </c>
      <c r="C126" s="346" t="str">
        <f t="shared" si="50"/>
        <v>  -   </v>
      </c>
      <c r="D126" s="346" t="str">
        <f t="shared" si="50"/>
        <v>  -   </v>
      </c>
      <c r="E126" s="346" t="str">
        <f t="shared" si="50"/>
        <v>  -   </v>
      </c>
      <c r="F126" s="346" t="str">
        <f t="shared" si="50"/>
        <v>  -   </v>
      </c>
      <c r="G126" s="346" t="str">
        <f t="shared" si="50"/>
        <v>  -   </v>
      </c>
      <c r="H126" s="346" t="str">
        <f t="shared" si="50"/>
        <v>  -   </v>
      </c>
    </row>
    <row r="127" ht="15.75" customHeight="1">
      <c r="A127" s="351" t="str">
        <f t="shared" si="44"/>
        <v> Jawar</v>
      </c>
      <c r="B127" s="346" t="str">
        <f t="shared" ref="B127:H127" si="51">B75-(B75*$G$6)</f>
        <v>  -   </v>
      </c>
      <c r="C127" s="346" t="str">
        <f t="shared" si="51"/>
        <v>  -   </v>
      </c>
      <c r="D127" s="346" t="str">
        <f t="shared" si="51"/>
        <v>  -   </v>
      </c>
      <c r="E127" s="346" t="str">
        <f t="shared" si="51"/>
        <v>  -   </v>
      </c>
      <c r="F127" s="346" t="str">
        <f t="shared" si="51"/>
        <v>  -   </v>
      </c>
      <c r="G127" s="346" t="str">
        <f t="shared" si="51"/>
        <v>  -   </v>
      </c>
      <c r="H127" s="346" t="str">
        <f t="shared" si="51"/>
        <v>  -   </v>
      </c>
    </row>
    <row r="128" ht="15.75" customHeight="1">
      <c r="A128" s="351" t="str">
        <f t="shared" si="44"/>
        <v/>
      </c>
      <c r="B128" s="346" t="str">
        <f t="shared" ref="B128:H128" si="52">B76-(B76*$G$6)</f>
        <v>  -   </v>
      </c>
      <c r="C128" s="346" t="str">
        <f t="shared" si="52"/>
        <v>  -   </v>
      </c>
      <c r="D128" s="346" t="str">
        <f t="shared" si="52"/>
        <v>  -   </v>
      </c>
      <c r="E128" s="346" t="str">
        <f t="shared" si="52"/>
        <v>  -   </v>
      </c>
      <c r="F128" s="346" t="str">
        <f t="shared" si="52"/>
        <v>  -   </v>
      </c>
      <c r="G128" s="346" t="str">
        <f t="shared" si="52"/>
        <v>  -   </v>
      </c>
      <c r="H128" s="346" t="str">
        <f t="shared" si="52"/>
        <v>  -   </v>
      </c>
    </row>
    <row r="129" ht="15.75" customHeight="1">
      <c r="A129" s="351" t="str">
        <f t="shared" si="44"/>
        <v> Wheat</v>
      </c>
      <c r="B129" s="346" t="str">
        <f t="shared" ref="B129:H129" si="53">B77-(B77*$G$6)</f>
        <v>  1,977.03 </v>
      </c>
      <c r="C129" s="346" t="str">
        <f t="shared" si="53"/>
        <v>  2,306.53 </v>
      </c>
      <c r="D129" s="346" t="str">
        <f t="shared" si="53"/>
        <v>  2,636.04 </v>
      </c>
      <c r="E129" s="346" t="str">
        <f t="shared" si="53"/>
        <v>  2,965.54 </v>
      </c>
      <c r="F129" s="346" t="str">
        <f t="shared" si="53"/>
        <v>  3,295.05 </v>
      </c>
      <c r="G129" s="346" t="str">
        <f t="shared" si="53"/>
        <v>  3,624.55 </v>
      </c>
      <c r="H129" s="346" t="str">
        <f t="shared" si="53"/>
        <v>  3,954.06 </v>
      </c>
    </row>
    <row r="130" ht="15.75" customHeight="1">
      <c r="A130" s="351" t="str">
        <f t="shared" si="44"/>
        <v> Channa</v>
      </c>
      <c r="B130" s="346" t="str">
        <f t="shared" ref="B130:H130" si="54">B78-(B78*$G$6)</f>
        <v>  6,150.76 </v>
      </c>
      <c r="C130" s="346" t="str">
        <f t="shared" si="54"/>
        <v>  7,175.88 </v>
      </c>
      <c r="D130" s="346" t="str">
        <f t="shared" si="54"/>
        <v>  8,201.01 </v>
      </c>
      <c r="E130" s="346" t="str">
        <f t="shared" si="54"/>
        <v>  9,226.14 </v>
      </c>
      <c r="F130" s="346" t="str">
        <f t="shared" si="54"/>
        <v>  10,251.26 </v>
      </c>
      <c r="G130" s="346" t="str">
        <f t="shared" si="54"/>
        <v>  11,276.39 </v>
      </c>
      <c r="H130" s="346" t="str">
        <f t="shared" si="54"/>
        <v>  12,301.52 </v>
      </c>
    </row>
    <row r="131" ht="15.75" customHeight="1">
      <c r="A131" s="351" t="str">
        <f t="shared" si="44"/>
        <v> Jawar</v>
      </c>
      <c r="B131" s="346" t="str">
        <f t="shared" ref="B131:H131" si="55">B79-(B79*$G$6)</f>
        <v>  717.74 </v>
      </c>
      <c r="C131" s="346" t="str">
        <f t="shared" si="55"/>
        <v>  837.37 </v>
      </c>
      <c r="D131" s="346" t="str">
        <f t="shared" si="55"/>
        <v>  956.99 </v>
      </c>
      <c r="E131" s="346" t="str">
        <f t="shared" si="55"/>
        <v>  1,076.61 </v>
      </c>
      <c r="F131" s="346" t="str">
        <f t="shared" si="55"/>
        <v>  1,196.24 </v>
      </c>
      <c r="G131" s="346" t="str">
        <f t="shared" si="55"/>
        <v>  1,315.86 </v>
      </c>
      <c r="H131" s="346" t="str">
        <f t="shared" si="55"/>
        <v>  1,435.49 </v>
      </c>
    </row>
    <row r="132" ht="15.75" customHeight="1">
      <c r="A132" s="351" t="str">
        <f t="shared" si="44"/>
        <v> Maize</v>
      </c>
      <c r="B132" s="346" t="str">
        <f t="shared" ref="B132:H132" si="56">B80-(B80*$G$6)</f>
        <v>  -   </v>
      </c>
      <c r="C132" s="346" t="str">
        <f t="shared" si="56"/>
        <v>  -   </v>
      </c>
      <c r="D132" s="346" t="str">
        <f t="shared" si="56"/>
        <v>  -   </v>
      </c>
      <c r="E132" s="346" t="str">
        <f t="shared" si="56"/>
        <v>  -   </v>
      </c>
      <c r="F132" s="346" t="str">
        <f t="shared" si="56"/>
        <v>  -   </v>
      </c>
      <c r="G132" s="346" t="str">
        <f t="shared" si="56"/>
        <v>  -   </v>
      </c>
      <c r="H132" s="346" t="str">
        <f t="shared" si="56"/>
        <v>  -   </v>
      </c>
    </row>
    <row r="133" ht="15.75" customHeight="1">
      <c r="A133" s="351" t="str">
        <f t="shared" si="44"/>
        <v> Safflower</v>
      </c>
      <c r="B133" s="346" t="str">
        <f t="shared" ref="B133:H133" si="57">B81-(B81*$G$6)</f>
        <v>  -   </v>
      </c>
      <c r="C133" s="346" t="str">
        <f t="shared" si="57"/>
        <v>  -   </v>
      </c>
      <c r="D133" s="346" t="str">
        <f t="shared" si="57"/>
        <v>  -   </v>
      </c>
      <c r="E133" s="346" t="str">
        <f t="shared" si="57"/>
        <v>  -   </v>
      </c>
      <c r="F133" s="346" t="str">
        <f t="shared" si="57"/>
        <v>  -   </v>
      </c>
      <c r="G133" s="346" t="str">
        <f t="shared" si="57"/>
        <v>  -   </v>
      </c>
      <c r="H133" s="346" t="str">
        <f t="shared" si="57"/>
        <v>  -   </v>
      </c>
    </row>
    <row r="134" ht="15.75" customHeight="1">
      <c r="A134" s="351" t="str">
        <f t="shared" si="44"/>
        <v> Groundnut</v>
      </c>
      <c r="B134" s="346" t="str">
        <f t="shared" ref="B134:H134" si="58">B82-(B82*$G$6)</f>
        <v>  228.92 </v>
      </c>
      <c r="C134" s="346" t="str">
        <f t="shared" si="58"/>
        <v>  267.07 </v>
      </c>
      <c r="D134" s="346" t="str">
        <f t="shared" si="58"/>
        <v>  305.23 </v>
      </c>
      <c r="E134" s="346" t="str">
        <f t="shared" si="58"/>
        <v>  343.38 </v>
      </c>
      <c r="F134" s="346" t="str">
        <f t="shared" si="58"/>
        <v>  381.53 </v>
      </c>
      <c r="G134" s="346" t="str">
        <f t="shared" si="58"/>
        <v>  419.69 </v>
      </c>
      <c r="H134" s="346" t="str">
        <f t="shared" si="58"/>
        <v>  457.84 </v>
      </c>
    </row>
    <row r="135" ht="15.75" customHeight="1">
      <c r="A135" s="351" t="str">
        <f t="shared" si="44"/>
        <v/>
      </c>
      <c r="B135" s="346" t="str">
        <f t="shared" ref="B135:H135" si="59">B83-(B83*$G$6)</f>
        <v>  -   </v>
      </c>
      <c r="C135" s="346" t="str">
        <f t="shared" si="59"/>
        <v>  -   </v>
      </c>
      <c r="D135" s="346" t="str">
        <f t="shared" si="59"/>
        <v>  -   </v>
      </c>
      <c r="E135" s="346" t="str">
        <f t="shared" si="59"/>
        <v>  -   </v>
      </c>
      <c r="F135" s="346" t="str">
        <f t="shared" si="59"/>
        <v>  -   </v>
      </c>
      <c r="G135" s="346" t="str">
        <f t="shared" si="59"/>
        <v>  -   </v>
      </c>
      <c r="H135" s="346" t="str">
        <f t="shared" si="59"/>
        <v>  -   </v>
      </c>
    </row>
    <row r="136" ht="15.75" customHeight="1">
      <c r="A136" s="351" t="str">
        <f t="shared" si="44"/>
        <v/>
      </c>
      <c r="B136" s="346" t="str">
        <f t="shared" ref="B136:H136" si="60">B84-(B84*$G$6)</f>
        <v>  -   </v>
      </c>
      <c r="C136" s="346" t="str">
        <f t="shared" si="60"/>
        <v>  -   </v>
      </c>
      <c r="D136" s="346" t="str">
        <f t="shared" si="60"/>
        <v>  -   </v>
      </c>
      <c r="E136" s="346" t="str">
        <f t="shared" si="60"/>
        <v>  -   </v>
      </c>
      <c r="F136" s="346" t="str">
        <f t="shared" si="60"/>
        <v>  -   </v>
      </c>
      <c r="G136" s="346" t="str">
        <f t="shared" si="60"/>
        <v>  -   </v>
      </c>
      <c r="H136" s="346" t="str">
        <f t="shared" si="60"/>
        <v>  -   </v>
      </c>
    </row>
    <row r="137" ht="15.75" customHeight="1">
      <c r="A137" s="351" t="str">
        <f t="shared" si="44"/>
        <v> Soybean</v>
      </c>
      <c r="B137" s="346" t="str">
        <f t="shared" ref="B137:H137" si="61">B85-(B85*$G$6)</f>
        <v>  53.41 </v>
      </c>
      <c r="C137" s="346" t="str">
        <f t="shared" si="61"/>
        <v>  62.32 </v>
      </c>
      <c r="D137" s="346" t="str">
        <f t="shared" si="61"/>
        <v>  71.22 </v>
      </c>
      <c r="E137" s="346" t="str">
        <f t="shared" si="61"/>
        <v>  80.12 </v>
      </c>
      <c r="F137" s="346" t="str">
        <f t="shared" si="61"/>
        <v>  89.02 </v>
      </c>
      <c r="G137" s="346" t="str">
        <f t="shared" si="61"/>
        <v>  97.93 </v>
      </c>
      <c r="H137" s="346" t="str">
        <f t="shared" si="61"/>
        <v>  106.83 </v>
      </c>
    </row>
    <row r="138" ht="15.75" customHeight="1">
      <c r="A138" s="351" t="str">
        <f t="shared" si="44"/>
        <v/>
      </c>
      <c r="B138" s="346" t="str">
        <f t="shared" ref="B138:H138" si="62">B86-(B86*$G$6)</f>
        <v>  -   </v>
      </c>
      <c r="C138" s="346" t="str">
        <f t="shared" si="62"/>
        <v>  -   </v>
      </c>
      <c r="D138" s="346" t="str">
        <f t="shared" si="62"/>
        <v>  -   </v>
      </c>
      <c r="E138" s="346" t="str">
        <f t="shared" si="62"/>
        <v>  -   </v>
      </c>
      <c r="F138" s="346" t="str">
        <f t="shared" si="62"/>
        <v>  -   </v>
      </c>
      <c r="G138" s="346" t="str">
        <f t="shared" si="62"/>
        <v>  -   </v>
      </c>
      <c r="H138" s="346" t="str">
        <f t="shared" si="62"/>
        <v>  -   </v>
      </c>
    </row>
    <row r="139" ht="15.75" customHeight="1">
      <c r="A139" s="351" t="str">
        <f t="shared" si="44"/>
        <v/>
      </c>
      <c r="B139" s="346" t="str">
        <f t="shared" ref="B139:H139" si="63">B87-(B87*$G$6)</f>
        <v>  -   </v>
      </c>
      <c r="C139" s="346" t="str">
        <f t="shared" si="63"/>
        <v>  -   </v>
      </c>
      <c r="D139" s="346" t="str">
        <f t="shared" si="63"/>
        <v>  -   </v>
      </c>
      <c r="E139" s="346" t="str">
        <f t="shared" si="63"/>
        <v>  -   </v>
      </c>
      <c r="F139" s="346" t="str">
        <f t="shared" si="63"/>
        <v>  -   </v>
      </c>
      <c r="G139" s="346" t="str">
        <f t="shared" si="63"/>
        <v>  -   </v>
      </c>
      <c r="H139" s="346" t="str">
        <f t="shared" si="63"/>
        <v>  -   </v>
      </c>
    </row>
    <row r="140" ht="15.75" customHeight="1">
      <c r="A140" s="351" t="str">
        <f t="shared" si="44"/>
        <v/>
      </c>
      <c r="B140" s="346" t="str">
        <f t="shared" ref="B140:H140" si="64">B88-(B88*$G$6)</f>
        <v>  -   </v>
      </c>
      <c r="C140" s="346" t="str">
        <f t="shared" si="64"/>
        <v>  -   </v>
      </c>
      <c r="D140" s="346" t="str">
        <f t="shared" si="64"/>
        <v>  -   </v>
      </c>
      <c r="E140" s="346" t="str">
        <f t="shared" si="64"/>
        <v>  -   </v>
      </c>
      <c r="F140" s="346" t="str">
        <f t="shared" si="64"/>
        <v>  -   </v>
      </c>
      <c r="G140" s="346" t="str">
        <f t="shared" si="64"/>
        <v>  -   </v>
      </c>
      <c r="H140" s="346" t="str">
        <f t="shared" si="64"/>
        <v>  -   </v>
      </c>
    </row>
    <row r="141" ht="15.75" customHeight="1">
      <c r="A141" s="351" t="str">
        <f t="shared" si="44"/>
        <v/>
      </c>
      <c r="B141" s="346" t="str">
        <f t="shared" ref="B141:H141" si="65">B89-(B89*$G$6)</f>
        <v>  -   </v>
      </c>
      <c r="C141" s="346" t="str">
        <f t="shared" si="65"/>
        <v>  -   </v>
      </c>
      <c r="D141" s="346" t="str">
        <f t="shared" si="65"/>
        <v>  -   </v>
      </c>
      <c r="E141" s="346" t="str">
        <f t="shared" si="65"/>
        <v>  -   </v>
      </c>
      <c r="F141" s="346" t="str">
        <f t="shared" si="65"/>
        <v>  -   </v>
      </c>
      <c r="G141" s="346" t="str">
        <f t="shared" si="65"/>
        <v>  -   </v>
      </c>
      <c r="H141" s="346" t="str">
        <f t="shared" si="65"/>
        <v>  -   </v>
      </c>
    </row>
    <row r="142" ht="15.75" customHeight="1">
      <c r="A142" s="85"/>
      <c r="B142" s="346"/>
      <c r="C142" s="346"/>
      <c r="D142" s="346"/>
      <c r="E142" s="346"/>
      <c r="F142" s="346"/>
      <c r="G142" s="346"/>
      <c r="H142" s="346"/>
    </row>
    <row r="143" ht="15.75" customHeight="1">
      <c r="A143" s="347" t="str">
        <f t="shared" ref="A143:A168" si="66">A91</f>
        <v> Fruit  &amp; Vegetables Crop Production Details</v>
      </c>
      <c r="B143" s="346"/>
      <c r="C143" s="346"/>
      <c r="D143" s="346"/>
      <c r="E143" s="346"/>
      <c r="F143" s="346"/>
      <c r="G143" s="346"/>
      <c r="H143" s="346"/>
    </row>
    <row r="144" ht="15.75" customHeight="1">
      <c r="A144" s="351" t="str">
        <f t="shared" si="66"/>
        <v> Onion</v>
      </c>
      <c r="B144" s="346" t="str">
        <f t="shared" ref="B144:H144" si="67">B92-(B92*$G$7)</f>
        <v>  -   </v>
      </c>
      <c r="C144" s="346" t="str">
        <f t="shared" si="67"/>
        <v>  -   </v>
      </c>
      <c r="D144" s="346" t="str">
        <f t="shared" si="67"/>
        <v>  -   </v>
      </c>
      <c r="E144" s="346" t="str">
        <f t="shared" si="67"/>
        <v>  -   </v>
      </c>
      <c r="F144" s="346" t="str">
        <f t="shared" si="67"/>
        <v>  -   </v>
      </c>
      <c r="G144" s="346" t="str">
        <f t="shared" si="67"/>
        <v>  -   </v>
      </c>
      <c r="H144" s="346" t="str">
        <f t="shared" si="67"/>
        <v>  -   </v>
      </c>
    </row>
    <row r="145" ht="15.75" customHeight="1">
      <c r="A145" s="351" t="str">
        <f t="shared" si="66"/>
        <v> Tomato</v>
      </c>
      <c r="B145" s="346" t="str">
        <f t="shared" ref="B145:H145" si="68">B93-(B93*$G$7)</f>
        <v>  -   </v>
      </c>
      <c r="C145" s="346" t="str">
        <f t="shared" si="68"/>
        <v>  -   </v>
      </c>
      <c r="D145" s="346" t="str">
        <f t="shared" si="68"/>
        <v>  -   </v>
      </c>
      <c r="E145" s="346" t="str">
        <f t="shared" si="68"/>
        <v>  -   </v>
      </c>
      <c r="F145" s="346" t="str">
        <f t="shared" si="68"/>
        <v>  -   </v>
      </c>
      <c r="G145" s="346" t="str">
        <f t="shared" si="68"/>
        <v>  -   </v>
      </c>
      <c r="H145" s="346" t="str">
        <f t="shared" si="68"/>
        <v>  -   </v>
      </c>
    </row>
    <row r="146" ht="15.75" customHeight="1">
      <c r="A146" s="351" t="str">
        <f t="shared" si="66"/>
        <v> Okra</v>
      </c>
      <c r="B146" s="346" t="str">
        <f t="shared" ref="B146:H146" si="69">B94-(B94*$G$7)</f>
        <v>  -   </v>
      </c>
      <c r="C146" s="346" t="str">
        <f t="shared" si="69"/>
        <v>  -   </v>
      </c>
      <c r="D146" s="346" t="str">
        <f t="shared" si="69"/>
        <v>  -   </v>
      </c>
      <c r="E146" s="346" t="str">
        <f t="shared" si="69"/>
        <v>  -   </v>
      </c>
      <c r="F146" s="346" t="str">
        <f t="shared" si="69"/>
        <v>  -   </v>
      </c>
      <c r="G146" s="346" t="str">
        <f t="shared" si="69"/>
        <v>  -   </v>
      </c>
      <c r="H146" s="346" t="str">
        <f t="shared" si="69"/>
        <v>  -   </v>
      </c>
    </row>
    <row r="147" ht="15.75" customHeight="1">
      <c r="A147" s="351" t="str">
        <f t="shared" si="66"/>
        <v> Chilli</v>
      </c>
      <c r="B147" s="346" t="str">
        <f t="shared" ref="B147:H147" si="70">B95-(B95*$G$7)</f>
        <v>  -   </v>
      </c>
      <c r="C147" s="346" t="str">
        <f t="shared" si="70"/>
        <v>  -   </v>
      </c>
      <c r="D147" s="346" t="str">
        <f t="shared" si="70"/>
        <v>  -   </v>
      </c>
      <c r="E147" s="346" t="str">
        <f t="shared" si="70"/>
        <v>  -   </v>
      </c>
      <c r="F147" s="346" t="str">
        <f t="shared" si="70"/>
        <v>  -   </v>
      </c>
      <c r="G147" s="346" t="str">
        <f t="shared" si="70"/>
        <v>  -   </v>
      </c>
      <c r="H147" s="346" t="str">
        <f t="shared" si="70"/>
        <v>  -   </v>
      </c>
    </row>
    <row r="148" ht="15.75" customHeight="1">
      <c r="A148" s="351" t="str">
        <f t="shared" si="66"/>
        <v> Potato</v>
      </c>
      <c r="B148" s="346" t="str">
        <f t="shared" ref="B148:H148" si="71">B96-(B96*$G$7)</f>
        <v>  -   </v>
      </c>
      <c r="C148" s="346" t="str">
        <f t="shared" si="71"/>
        <v>  -   </v>
      </c>
      <c r="D148" s="346" t="str">
        <f t="shared" si="71"/>
        <v>  -   </v>
      </c>
      <c r="E148" s="346" t="str">
        <f t="shared" si="71"/>
        <v>  -   </v>
      </c>
      <c r="F148" s="346" t="str">
        <f t="shared" si="71"/>
        <v>  -   </v>
      </c>
      <c r="G148" s="346" t="str">
        <f t="shared" si="71"/>
        <v>  -   </v>
      </c>
      <c r="H148" s="346" t="str">
        <f t="shared" si="71"/>
        <v>  -   </v>
      </c>
    </row>
    <row r="149" ht="15.75" customHeight="1">
      <c r="A149" s="351" t="str">
        <f t="shared" si="66"/>
        <v/>
      </c>
      <c r="B149" s="346" t="str">
        <f t="shared" ref="B149:H149" si="72">B97-(B97*$G$7)</f>
        <v>  -   </v>
      </c>
      <c r="C149" s="346" t="str">
        <f t="shared" si="72"/>
        <v>  -   </v>
      </c>
      <c r="D149" s="346" t="str">
        <f t="shared" si="72"/>
        <v>  -   </v>
      </c>
      <c r="E149" s="346" t="str">
        <f t="shared" si="72"/>
        <v>  -   </v>
      </c>
      <c r="F149" s="346" t="str">
        <f t="shared" si="72"/>
        <v>  -   </v>
      </c>
      <c r="G149" s="346" t="str">
        <f t="shared" si="72"/>
        <v>  -   </v>
      </c>
      <c r="H149" s="346" t="str">
        <f t="shared" si="72"/>
        <v>  -   </v>
      </c>
    </row>
    <row r="150" ht="15.75" customHeight="1">
      <c r="A150" s="351" t="str">
        <f t="shared" si="66"/>
        <v/>
      </c>
      <c r="B150" s="346" t="str">
        <f t="shared" ref="B150:H150" si="73">B98-(B98*$G$7)</f>
        <v>  -   </v>
      </c>
      <c r="C150" s="346" t="str">
        <f t="shared" si="73"/>
        <v>  -   </v>
      </c>
      <c r="D150" s="346" t="str">
        <f t="shared" si="73"/>
        <v>  -   </v>
      </c>
      <c r="E150" s="346" t="str">
        <f t="shared" si="73"/>
        <v>  -   </v>
      </c>
      <c r="F150" s="346" t="str">
        <f t="shared" si="73"/>
        <v>  -   </v>
      </c>
      <c r="G150" s="346" t="str">
        <f t="shared" si="73"/>
        <v>  -   </v>
      </c>
      <c r="H150" s="346" t="str">
        <f t="shared" si="73"/>
        <v>  -   </v>
      </c>
    </row>
    <row r="151" ht="15.75" customHeight="1">
      <c r="A151" s="351" t="str">
        <f t="shared" si="66"/>
        <v/>
      </c>
      <c r="B151" s="346" t="str">
        <f t="shared" ref="B151:H151" si="74">B99-(B99*$G$7)</f>
        <v>  -   </v>
      </c>
      <c r="C151" s="346" t="str">
        <f t="shared" si="74"/>
        <v>  -   </v>
      </c>
      <c r="D151" s="346" t="str">
        <f t="shared" si="74"/>
        <v>  -   </v>
      </c>
      <c r="E151" s="346" t="str">
        <f t="shared" si="74"/>
        <v>  -   </v>
      </c>
      <c r="F151" s="346" t="str">
        <f t="shared" si="74"/>
        <v>  -   </v>
      </c>
      <c r="G151" s="346" t="str">
        <f t="shared" si="74"/>
        <v>  -   </v>
      </c>
      <c r="H151" s="346" t="str">
        <f t="shared" si="74"/>
        <v>  -   </v>
      </c>
    </row>
    <row r="152" ht="15.75" customHeight="1">
      <c r="A152" s="351" t="str">
        <f t="shared" si="66"/>
        <v/>
      </c>
      <c r="B152" s="346" t="str">
        <f t="shared" ref="B152:H152" si="75">B100-(B100*$G$7)</f>
        <v>  -   </v>
      </c>
      <c r="C152" s="346" t="str">
        <f t="shared" si="75"/>
        <v>  -   </v>
      </c>
      <c r="D152" s="346" t="str">
        <f t="shared" si="75"/>
        <v>  -   </v>
      </c>
      <c r="E152" s="346" t="str">
        <f t="shared" si="75"/>
        <v>  -   </v>
      </c>
      <c r="F152" s="346" t="str">
        <f t="shared" si="75"/>
        <v>  -   </v>
      </c>
      <c r="G152" s="346" t="str">
        <f t="shared" si="75"/>
        <v>  -   </v>
      </c>
      <c r="H152" s="346" t="str">
        <f t="shared" si="75"/>
        <v>  -   </v>
      </c>
    </row>
    <row r="153" ht="15.75" customHeight="1">
      <c r="A153" s="351" t="str">
        <f t="shared" si="66"/>
        <v> Onion</v>
      </c>
      <c r="B153" s="346" t="str">
        <f t="shared" ref="B153:H153" si="76">B101-(B101*$G$7)</f>
        <v>  -   </v>
      </c>
      <c r="C153" s="346" t="str">
        <f t="shared" si="76"/>
        <v>  -   </v>
      </c>
      <c r="D153" s="346" t="str">
        <f t="shared" si="76"/>
        <v>  -   </v>
      </c>
      <c r="E153" s="346" t="str">
        <f t="shared" si="76"/>
        <v>  -   </v>
      </c>
      <c r="F153" s="346" t="str">
        <f t="shared" si="76"/>
        <v>  -   </v>
      </c>
      <c r="G153" s="346" t="str">
        <f t="shared" si="76"/>
        <v>  -   </v>
      </c>
      <c r="H153" s="346" t="str">
        <f t="shared" si="76"/>
        <v>  -   </v>
      </c>
    </row>
    <row r="154" ht="15.75" customHeight="1">
      <c r="A154" s="351" t="str">
        <f t="shared" si="66"/>
        <v> Tomato</v>
      </c>
      <c r="B154" s="346" t="str">
        <f t="shared" ref="B154:H154" si="77">B102-(B102*$G$7)</f>
        <v>  -   </v>
      </c>
      <c r="C154" s="346" t="str">
        <f t="shared" si="77"/>
        <v>  -   </v>
      </c>
      <c r="D154" s="346" t="str">
        <f t="shared" si="77"/>
        <v>  -   </v>
      </c>
      <c r="E154" s="346" t="str">
        <f t="shared" si="77"/>
        <v>  -   </v>
      </c>
      <c r="F154" s="346" t="str">
        <f t="shared" si="77"/>
        <v>  -   </v>
      </c>
      <c r="G154" s="346" t="str">
        <f t="shared" si="77"/>
        <v>  -   </v>
      </c>
      <c r="H154" s="346" t="str">
        <f t="shared" si="77"/>
        <v>  -   </v>
      </c>
    </row>
    <row r="155" ht="15.75" customHeight="1">
      <c r="A155" s="351" t="str">
        <f t="shared" si="66"/>
        <v> Okra</v>
      </c>
      <c r="B155" s="346" t="str">
        <f t="shared" ref="B155:H155" si="78">B103-(B103*$G$7)</f>
        <v>  -   </v>
      </c>
      <c r="C155" s="346" t="str">
        <f t="shared" si="78"/>
        <v>  -   </v>
      </c>
      <c r="D155" s="346" t="str">
        <f t="shared" si="78"/>
        <v>  -   </v>
      </c>
      <c r="E155" s="346" t="str">
        <f t="shared" si="78"/>
        <v>  -   </v>
      </c>
      <c r="F155" s="346" t="str">
        <f t="shared" si="78"/>
        <v>  -   </v>
      </c>
      <c r="G155" s="346" t="str">
        <f t="shared" si="78"/>
        <v>  -   </v>
      </c>
      <c r="H155" s="346" t="str">
        <f t="shared" si="78"/>
        <v>  -   </v>
      </c>
    </row>
    <row r="156" ht="15.75" customHeight="1">
      <c r="A156" s="351" t="str">
        <f t="shared" si="66"/>
        <v> Chilli</v>
      </c>
      <c r="B156" s="346" t="str">
        <f t="shared" ref="B156:H156" si="79">B104-(B104*$G$7)</f>
        <v>  -   </v>
      </c>
      <c r="C156" s="346" t="str">
        <f t="shared" si="79"/>
        <v>  -   </v>
      </c>
      <c r="D156" s="346" t="str">
        <f t="shared" si="79"/>
        <v>  -   </v>
      </c>
      <c r="E156" s="346" t="str">
        <f t="shared" si="79"/>
        <v>  -   </v>
      </c>
      <c r="F156" s="346" t="str">
        <f t="shared" si="79"/>
        <v>  -   </v>
      </c>
      <c r="G156" s="346" t="str">
        <f t="shared" si="79"/>
        <v>  -   </v>
      </c>
      <c r="H156" s="346" t="str">
        <f t="shared" si="79"/>
        <v>  -   </v>
      </c>
    </row>
    <row r="157" ht="15.75" customHeight="1">
      <c r="A157" s="351" t="str">
        <f t="shared" si="66"/>
        <v> Brinjal</v>
      </c>
      <c r="B157" s="346" t="str">
        <f t="shared" ref="B157:H157" si="80">B105-(B105*$G$7)</f>
        <v>  -   </v>
      </c>
      <c r="C157" s="346" t="str">
        <f t="shared" si="80"/>
        <v>  -   </v>
      </c>
      <c r="D157" s="346" t="str">
        <f t="shared" si="80"/>
        <v>  -   </v>
      </c>
      <c r="E157" s="346" t="str">
        <f t="shared" si="80"/>
        <v>  -   </v>
      </c>
      <c r="F157" s="346" t="str">
        <f t="shared" si="80"/>
        <v>  -   </v>
      </c>
      <c r="G157" s="346" t="str">
        <f t="shared" si="80"/>
        <v>  -   </v>
      </c>
      <c r="H157" s="346" t="str">
        <f t="shared" si="80"/>
        <v>  -   </v>
      </c>
    </row>
    <row r="158" ht="15.75" customHeight="1">
      <c r="A158" s="351" t="str">
        <f t="shared" si="66"/>
        <v/>
      </c>
      <c r="B158" s="346" t="str">
        <f t="shared" ref="B158:H158" si="81">B106-(B106*$G$7)</f>
        <v>  -   </v>
      </c>
      <c r="C158" s="346" t="str">
        <f t="shared" si="81"/>
        <v>  -   </v>
      </c>
      <c r="D158" s="346" t="str">
        <f t="shared" si="81"/>
        <v>  -   </v>
      </c>
      <c r="E158" s="346" t="str">
        <f t="shared" si="81"/>
        <v>  -   </v>
      </c>
      <c r="F158" s="346" t="str">
        <f t="shared" si="81"/>
        <v>  -   </v>
      </c>
      <c r="G158" s="346" t="str">
        <f t="shared" si="81"/>
        <v>  -   </v>
      </c>
      <c r="H158" s="346" t="str">
        <f t="shared" si="81"/>
        <v>  -   </v>
      </c>
    </row>
    <row r="159" ht="15.75" customHeight="1">
      <c r="A159" s="351" t="str">
        <f t="shared" si="66"/>
        <v/>
      </c>
      <c r="B159" s="346" t="str">
        <f t="shared" ref="B159:H159" si="82">B107-(B107*$G$7)</f>
        <v>  -   </v>
      </c>
      <c r="C159" s="346" t="str">
        <f t="shared" si="82"/>
        <v>  -   </v>
      </c>
      <c r="D159" s="346" t="str">
        <f t="shared" si="82"/>
        <v>  -   </v>
      </c>
      <c r="E159" s="346" t="str">
        <f t="shared" si="82"/>
        <v>  -   </v>
      </c>
      <c r="F159" s="346" t="str">
        <f t="shared" si="82"/>
        <v>  -   </v>
      </c>
      <c r="G159" s="346" t="str">
        <f t="shared" si="82"/>
        <v>  -   </v>
      </c>
      <c r="H159" s="346" t="str">
        <f t="shared" si="82"/>
        <v>  -   </v>
      </c>
    </row>
    <row r="160" ht="15.75" customHeight="1">
      <c r="A160" s="351" t="str">
        <f t="shared" si="66"/>
        <v/>
      </c>
      <c r="B160" s="346" t="str">
        <f t="shared" ref="B160:H160" si="83">B108-(B108*$G$7)</f>
        <v>  -   </v>
      </c>
      <c r="C160" s="346" t="str">
        <f t="shared" si="83"/>
        <v>  -   </v>
      </c>
      <c r="D160" s="346" t="str">
        <f t="shared" si="83"/>
        <v>  -   </v>
      </c>
      <c r="E160" s="346" t="str">
        <f t="shared" si="83"/>
        <v>  -   </v>
      </c>
      <c r="F160" s="346" t="str">
        <f t="shared" si="83"/>
        <v>  -   </v>
      </c>
      <c r="G160" s="346" t="str">
        <f t="shared" si="83"/>
        <v>  -   </v>
      </c>
      <c r="H160" s="346" t="str">
        <f t="shared" si="83"/>
        <v>  -   </v>
      </c>
    </row>
    <row r="161" ht="15.75" customHeight="1">
      <c r="A161" s="351" t="str">
        <f t="shared" si="66"/>
        <v/>
      </c>
      <c r="B161" s="346" t="str">
        <f t="shared" ref="B161:H161" si="84">B109-(B109*$G$7)</f>
        <v>  -   </v>
      </c>
      <c r="C161" s="346" t="str">
        <f t="shared" si="84"/>
        <v>  -   </v>
      </c>
      <c r="D161" s="346" t="str">
        <f t="shared" si="84"/>
        <v>  -   </v>
      </c>
      <c r="E161" s="346" t="str">
        <f t="shared" si="84"/>
        <v>  -   </v>
      </c>
      <c r="F161" s="346" t="str">
        <f t="shared" si="84"/>
        <v>  -   </v>
      </c>
      <c r="G161" s="346" t="str">
        <f t="shared" si="84"/>
        <v>  -   </v>
      </c>
      <c r="H161" s="346" t="str">
        <f t="shared" si="84"/>
        <v>  -   </v>
      </c>
    </row>
    <row r="162" ht="15.75" customHeight="1">
      <c r="A162" s="351" t="str">
        <f t="shared" si="66"/>
        <v/>
      </c>
      <c r="B162" s="346" t="str">
        <f t="shared" ref="B162:H162" si="85">B110-(B110*$G$7)</f>
        <v>  -   </v>
      </c>
      <c r="C162" s="346" t="str">
        <f t="shared" si="85"/>
        <v>  -   </v>
      </c>
      <c r="D162" s="346" t="str">
        <f t="shared" si="85"/>
        <v>  -   </v>
      </c>
      <c r="E162" s="346" t="str">
        <f t="shared" si="85"/>
        <v>  -   </v>
      </c>
      <c r="F162" s="346" t="str">
        <f t="shared" si="85"/>
        <v>  -   </v>
      </c>
      <c r="G162" s="346" t="str">
        <f t="shared" si="85"/>
        <v>  -   </v>
      </c>
      <c r="H162" s="346" t="str">
        <f t="shared" si="85"/>
        <v>  -   </v>
      </c>
    </row>
    <row r="163" ht="15.75" customHeight="1">
      <c r="A163" s="351" t="str">
        <f t="shared" si="66"/>
        <v/>
      </c>
      <c r="B163" s="346" t="str">
        <f t="shared" ref="B163:H163" si="86">B111-(B111*$G$7)</f>
        <v>  -   </v>
      </c>
      <c r="C163" s="346" t="str">
        <f t="shared" si="86"/>
        <v>  -   </v>
      </c>
      <c r="D163" s="346" t="str">
        <f t="shared" si="86"/>
        <v>  -   </v>
      </c>
      <c r="E163" s="346" t="str">
        <f t="shared" si="86"/>
        <v>  -   </v>
      </c>
      <c r="F163" s="346" t="str">
        <f t="shared" si="86"/>
        <v>  -   </v>
      </c>
      <c r="G163" s="346" t="str">
        <f t="shared" si="86"/>
        <v>  -   </v>
      </c>
      <c r="H163" s="346" t="str">
        <f t="shared" si="86"/>
        <v>  -   </v>
      </c>
    </row>
    <row r="164" ht="15.75" customHeight="1">
      <c r="A164" s="351" t="str">
        <f t="shared" si="66"/>
        <v/>
      </c>
      <c r="B164" s="346" t="str">
        <f t="shared" ref="B164:H164" si="87">B112-(B112*$G$7)</f>
        <v>  -   </v>
      </c>
      <c r="C164" s="346" t="str">
        <f t="shared" si="87"/>
        <v>  -   </v>
      </c>
      <c r="D164" s="346" t="str">
        <f t="shared" si="87"/>
        <v>  -   </v>
      </c>
      <c r="E164" s="346" t="str">
        <f t="shared" si="87"/>
        <v>  -   </v>
      </c>
      <c r="F164" s="346" t="str">
        <f t="shared" si="87"/>
        <v>  -   </v>
      </c>
      <c r="G164" s="346" t="str">
        <f t="shared" si="87"/>
        <v>  -   </v>
      </c>
      <c r="H164" s="346" t="str">
        <f t="shared" si="87"/>
        <v>  -   </v>
      </c>
    </row>
    <row r="165" ht="15.75" customHeight="1">
      <c r="A165" s="351" t="str">
        <f t="shared" si="66"/>
        <v> Pomegranate</v>
      </c>
      <c r="B165" s="346" t="str">
        <f t="shared" ref="B165:H165" si="88">B113-(B113*$G$7)</f>
        <v>  -   </v>
      </c>
      <c r="C165" s="346" t="str">
        <f t="shared" si="88"/>
        <v>  -   </v>
      </c>
      <c r="D165" s="346" t="str">
        <f t="shared" si="88"/>
        <v>  -   </v>
      </c>
      <c r="E165" s="346" t="str">
        <f t="shared" si="88"/>
        <v>  -   </v>
      </c>
      <c r="F165" s="346" t="str">
        <f t="shared" si="88"/>
        <v>  -   </v>
      </c>
      <c r="G165" s="346" t="str">
        <f t="shared" si="88"/>
        <v>  -   </v>
      </c>
      <c r="H165" s="346" t="str">
        <f t="shared" si="88"/>
        <v>  -   </v>
      </c>
    </row>
    <row r="166" ht="15.75" customHeight="1">
      <c r="A166" s="351" t="str">
        <f t="shared" si="66"/>
        <v> Custard Apple</v>
      </c>
      <c r="B166" s="346" t="str">
        <f t="shared" ref="B166:H166" si="89">B114-(B114*$G$7)</f>
        <v>  -   </v>
      </c>
      <c r="C166" s="346" t="str">
        <f t="shared" si="89"/>
        <v>  -   </v>
      </c>
      <c r="D166" s="346" t="str">
        <f t="shared" si="89"/>
        <v>  -   </v>
      </c>
      <c r="E166" s="346" t="str">
        <f t="shared" si="89"/>
        <v>  -   </v>
      </c>
      <c r="F166" s="346" t="str">
        <f t="shared" si="89"/>
        <v>  -   </v>
      </c>
      <c r="G166" s="346" t="str">
        <f t="shared" si="89"/>
        <v>  -   </v>
      </c>
      <c r="H166" s="346" t="str">
        <f t="shared" si="89"/>
        <v>  -   </v>
      </c>
    </row>
    <row r="167" ht="15.75" customHeight="1">
      <c r="A167" s="351" t="str">
        <f t="shared" si="66"/>
        <v> Guava</v>
      </c>
      <c r="B167" s="346" t="str">
        <f t="shared" ref="B167:H167" si="90">B115-(B115*$G$7)</f>
        <v>  -   </v>
      </c>
      <c r="C167" s="346" t="str">
        <f t="shared" si="90"/>
        <v>  -   </v>
      </c>
      <c r="D167" s="346" t="str">
        <f t="shared" si="90"/>
        <v>  -   </v>
      </c>
      <c r="E167" s="346" t="str">
        <f t="shared" si="90"/>
        <v>  -   </v>
      </c>
      <c r="F167" s="346" t="str">
        <f t="shared" si="90"/>
        <v>  -   </v>
      </c>
      <c r="G167" s="346" t="str">
        <f t="shared" si="90"/>
        <v>  -   </v>
      </c>
      <c r="H167" s="346" t="str">
        <f t="shared" si="90"/>
        <v>  -   </v>
      </c>
    </row>
    <row r="168" ht="15.75" customHeight="1">
      <c r="A168" s="351" t="str">
        <f t="shared" si="66"/>
        <v> Citrus</v>
      </c>
      <c r="B168" s="346" t="str">
        <f t="shared" ref="B168:H168" si="91">B116-(B116*$G$7)</f>
        <v>  -   </v>
      </c>
      <c r="C168" s="346" t="str">
        <f t="shared" si="91"/>
        <v>  -   </v>
      </c>
      <c r="D168" s="346" t="str">
        <f t="shared" si="91"/>
        <v>  -   </v>
      </c>
      <c r="E168" s="346" t="str">
        <f t="shared" si="91"/>
        <v>  -   </v>
      </c>
      <c r="F168" s="346" t="str">
        <f t="shared" si="91"/>
        <v>  -   </v>
      </c>
      <c r="G168" s="346" t="str">
        <f t="shared" si="91"/>
        <v>  -   </v>
      </c>
      <c r="H168" s="346" t="str">
        <f t="shared" si="91"/>
        <v>  -   </v>
      </c>
    </row>
    <row r="169" ht="15.75" customHeight="1">
      <c r="A169" s="110"/>
    </row>
    <row r="170" ht="15.75" customHeight="1">
      <c r="A170" s="26" t="s">
        <v>615</v>
      </c>
    </row>
    <row r="171" ht="15.75" customHeight="1">
      <c r="A171" s="45"/>
      <c r="B171" s="45"/>
      <c r="C171" s="45"/>
      <c r="D171" s="45"/>
      <c r="E171" s="45"/>
      <c r="F171" s="45"/>
      <c r="G171" s="45"/>
      <c r="H171" s="45"/>
    </row>
    <row r="172" ht="15.75" customHeight="1">
      <c r="A172" s="352"/>
      <c r="B172" s="352"/>
      <c r="C172" s="352"/>
      <c r="D172" s="353">
        <v>1.0</v>
      </c>
      <c r="E172" s="354" t="str">
        <f t="shared" ref="E172:J172" si="92">(D172*5%)+D172</f>
        <v>105.00%</v>
      </c>
      <c r="F172" s="354" t="str">
        <f t="shared" si="92"/>
        <v>110.25%</v>
      </c>
      <c r="G172" s="354" t="str">
        <f t="shared" si="92"/>
        <v>115.76%</v>
      </c>
      <c r="H172" s="354" t="str">
        <f t="shared" si="92"/>
        <v>121.55%</v>
      </c>
      <c r="I172" s="354" t="str">
        <f t="shared" si="92"/>
        <v>127.63%</v>
      </c>
      <c r="J172" s="354" t="str">
        <f t="shared" si="92"/>
        <v>134.01%</v>
      </c>
      <c r="K172" s="110"/>
      <c r="L172" s="110"/>
      <c r="M172" s="110"/>
      <c r="N172" s="110"/>
      <c r="O172" s="110"/>
      <c r="P172" s="110"/>
      <c r="Q172" s="110"/>
      <c r="R172" s="110"/>
      <c r="S172" s="110"/>
      <c r="T172" s="110"/>
    </row>
    <row r="173" ht="15.75" customHeight="1">
      <c r="A173" s="110"/>
      <c r="B173" s="110"/>
      <c r="C173" s="110"/>
      <c r="D173" s="110"/>
      <c r="E173" s="110"/>
      <c r="F173" s="110"/>
      <c r="G173" s="110"/>
      <c r="H173" s="110"/>
      <c r="I173" s="110"/>
      <c r="J173" s="110"/>
      <c r="K173" s="110"/>
      <c r="L173" s="110"/>
      <c r="M173" s="110"/>
      <c r="N173" s="110"/>
      <c r="O173" s="110"/>
      <c r="P173" s="110"/>
      <c r="Q173" s="110"/>
      <c r="R173" s="110"/>
      <c r="S173" s="110"/>
      <c r="T173" s="110"/>
    </row>
    <row r="174" ht="15.75" customHeight="1">
      <c r="A174" s="110"/>
      <c r="B174" s="110"/>
      <c r="C174" s="110"/>
      <c r="D174" s="111"/>
      <c r="E174" s="111"/>
      <c r="F174" s="111"/>
      <c r="G174" s="111"/>
      <c r="H174" s="111"/>
      <c r="I174" s="111"/>
      <c r="J174" s="111"/>
      <c r="K174" s="110"/>
      <c r="L174" s="110"/>
    </row>
    <row r="175" ht="15.75" customHeight="1">
      <c r="A175" s="176" t="s">
        <v>174</v>
      </c>
      <c r="B175" s="176"/>
      <c r="C175" s="176" t="s">
        <v>141</v>
      </c>
      <c r="D175" s="177" t="s">
        <v>177</v>
      </c>
      <c r="E175" s="177" t="s">
        <v>178</v>
      </c>
      <c r="F175" s="177" t="s">
        <v>179</v>
      </c>
      <c r="G175" s="177" t="s">
        <v>180</v>
      </c>
      <c r="H175" s="177" t="s">
        <v>181</v>
      </c>
      <c r="I175" s="177" t="s">
        <v>182</v>
      </c>
      <c r="J175" s="177" t="s">
        <v>183</v>
      </c>
      <c r="K175" s="110"/>
      <c r="L175" s="110"/>
    </row>
    <row r="176" ht="15.75" customHeight="1">
      <c r="A176" s="117"/>
      <c r="B176" s="117"/>
      <c r="C176" s="117"/>
      <c r="D176" s="85"/>
      <c r="E176" s="85"/>
      <c r="F176" s="85"/>
      <c r="G176" s="85"/>
      <c r="H176" s="85"/>
      <c r="I176" s="85"/>
      <c r="J176" s="85"/>
      <c r="K176" s="110"/>
      <c r="L176" s="110"/>
    </row>
    <row r="177" ht="15.75" customHeight="1">
      <c r="A177" s="117" t="s">
        <v>377</v>
      </c>
      <c r="B177" s="117"/>
      <c r="C177" s="117"/>
      <c r="D177" s="85"/>
      <c r="E177" s="85"/>
      <c r="F177" s="85"/>
      <c r="G177" s="85"/>
      <c r="H177" s="85"/>
      <c r="I177" s="85"/>
      <c r="J177" s="85"/>
      <c r="K177" s="110"/>
      <c r="L177" s="110"/>
    </row>
    <row r="178" ht="15.75" customHeight="1">
      <c r="A178" s="351" t="str">
        <f t="shared" ref="A178:A198" si="93">A120</f>
        <v> Soybean</v>
      </c>
      <c r="B178" s="85" t="s">
        <v>616</v>
      </c>
      <c r="C178" s="355">
        <v>6500.0</v>
      </c>
      <c r="D178" s="351" t="str">
        <f>(B120*(1-'5.Closing Stock &amp; W Capital'!$D$15))*C$178*D172</f>
        <v>  50,591,142 </v>
      </c>
      <c r="E178" s="351" t="str">
        <f>((C120*(1-'5.Closing Stock &amp; W Capital'!$D$15))+(B120*'5.Closing Stock &amp; W Capital'!$D$15))*$C178*E$172</f>
        <v>  97,387,948 </v>
      </c>
      <c r="F178" s="351" t="str">
        <f>((D120*(1-'5.Closing Stock &amp; W Capital'!$D$15))+(C120*'5.Closing Stock &amp; W Capital'!$D$15))*$C178*F$172</f>
        <v>  117,750,883 </v>
      </c>
      <c r="G178" s="351" t="str">
        <f>((E120*(1-'5.Closing Stock &amp; W Capital'!$D$15))+(D120*'5.Closing Stock &amp; W Capital'!$D$15))*$C178*G$172</f>
        <v>  139,906,641 </v>
      </c>
      <c r="H178" s="351" t="str">
        <f>((F120*(1-'5.Closing Stock &amp; W Capital'!$D$15))+(E120*'5.Closing Stock &amp; W Capital'!$D$15))*$C178*H$172</f>
        <v>  163,983,598 </v>
      </c>
      <c r="I178" s="351" t="str">
        <f>((G120*(1-'5.Closing Stock &amp; W Capital'!$D$15))+(F120*'5.Closing Stock &amp; W Capital'!$D$15))*$C178*I$172</f>
        <v>  190,118,484 </v>
      </c>
      <c r="J178" s="351" t="str">
        <f>((H120*(1-'5.Closing Stock &amp; W Capital'!$D$15))+(G120*'5.Closing Stock &amp; W Capital'!$D$15))*$C178*J$172</f>
        <v>  218,456,900 </v>
      </c>
      <c r="K178" s="110"/>
      <c r="L178" s="110"/>
    </row>
    <row r="179" ht="15.75" customHeight="1">
      <c r="A179" s="351" t="str">
        <f t="shared" si="93"/>
        <v> Redgram</v>
      </c>
      <c r="B179" s="85" t="s">
        <v>616</v>
      </c>
      <c r="C179" s="355">
        <v>6500.0</v>
      </c>
      <c r="D179" s="351" t="str">
        <f>(B121*(1-'5.Closing Stock &amp; W Capital'!$D$15))*$C179*D$172</f>
        <v>  2,855,709 </v>
      </c>
      <c r="E179" s="351" t="str">
        <f>((C121*(1-'5.Closing Stock &amp; W Capital'!$D$15))+(B121*'5.Closing Stock &amp; W Capital'!$D$15))*$C179*E$172</f>
        <v>  5,497,240 </v>
      </c>
      <c r="F179" s="351" t="str">
        <f>((D121*(1-'5.Closing Stock &amp; W Capital'!$D$15))+(C121*'5.Closing Stock &amp; W Capital'!$D$15))*$C179*F$172</f>
        <v>  6,646,663 </v>
      </c>
      <c r="G179" s="351" t="str">
        <f>((E121*(1-'5.Closing Stock &amp; W Capital'!$D$15))+(D121*'5.Closing Stock &amp; W Capital'!$D$15))*$C179*G$172</f>
        <v>  7,897,285 </v>
      </c>
      <c r="H179" s="351" t="str">
        <f>((F121*(1-'5.Closing Stock &amp; W Capital'!$D$15))+(E121*'5.Closing Stock &amp; W Capital'!$D$15))*$C179*H$172</f>
        <v>  9,256,353 </v>
      </c>
      <c r="I179" s="351" t="str">
        <f>((G121*(1-'5.Closing Stock &amp; W Capital'!$D$15))+(F121*'5.Closing Stock &amp; W Capital'!$D$15))*$C179*I$172</f>
        <v>  10,731,584 </v>
      </c>
      <c r="J179" s="351" t="str">
        <f>((H121*(1-'5.Closing Stock &amp; W Capital'!$D$15))+(G121*'5.Closing Stock &amp; W Capital'!$D$15))*$C179*J$172</f>
        <v>  12,331,198 </v>
      </c>
      <c r="K179" s="110"/>
      <c r="L179" s="110"/>
    </row>
    <row r="180" ht="15.75" customHeight="1">
      <c r="A180" s="351" t="str">
        <f t="shared" si="93"/>
        <v> Turmeric</v>
      </c>
      <c r="B180" s="85" t="s">
        <v>616</v>
      </c>
      <c r="C180" s="355">
        <v>10000.0</v>
      </c>
      <c r="D180" s="351" t="str">
        <f>(B122*(1-'5.Closing Stock &amp; W Capital'!$D$15))*$C180*D$172</f>
        <v>  9,249,260 </v>
      </c>
      <c r="E180" s="351" t="str">
        <f>((C122*(1-'5.Closing Stock &amp; W Capital'!$D$15))+(B122*'5.Closing Stock &amp; W Capital'!$D$15))*$C180*E$172</f>
        <v>  17,804,826 </v>
      </c>
      <c r="F180" s="351" t="str">
        <f>((D122*(1-'5.Closing Stock &amp; W Capital'!$D$15))+(C122*'5.Closing Stock &amp; W Capital'!$D$15))*$C180*F$172</f>
        <v>  21,527,654 </v>
      </c>
      <c r="G180" s="351" t="str">
        <f>((E122*(1-'5.Closing Stock &amp; W Capital'!$D$15))+(D122*'5.Closing Stock &amp; W Capital'!$D$15))*$C180*G$172</f>
        <v>  25,578,252 </v>
      </c>
      <c r="H180" s="351" t="str">
        <f>((F122*(1-'5.Closing Stock &amp; W Capital'!$D$15))+(E122*'5.Closing Stock &amp; W Capital'!$D$15))*$C180*H$172</f>
        <v>  29,980,090 </v>
      </c>
      <c r="I180" s="351" t="str">
        <f>((G122*(1-'5.Closing Stock &amp; W Capital'!$D$15))+(F122*'5.Closing Stock &amp; W Capital'!$D$15))*$C180*I$172</f>
        <v>  34,758,167 </v>
      </c>
      <c r="J180" s="351" t="str">
        <f>((H122*(1-'5.Closing Stock &amp; W Capital'!$D$15))+(G122*'5.Closing Stock &amp; W Capital'!$D$15))*$C180*J$172</f>
        <v>  39,939,101 </v>
      </c>
      <c r="K180" s="110"/>
      <c r="L180" s="110"/>
    </row>
    <row r="181" ht="15.75" customHeight="1">
      <c r="A181" s="351" t="str">
        <f t="shared" si="93"/>
        <v> Bengalgram</v>
      </c>
      <c r="B181" s="85" t="s">
        <v>616</v>
      </c>
      <c r="C181" s="355">
        <v>5500.0</v>
      </c>
      <c r="D181" s="351" t="str">
        <f>(B123*(1-'5.Closing Stock &amp; W Capital'!$D$15))*$C181*D$172</f>
        <v>  1,762,678 </v>
      </c>
      <c r="E181" s="351" t="str">
        <f>((C123*(1-'5.Closing Stock &amp; W Capital'!$D$15))+(B123*'5.Closing Stock &amp; W Capital'!$D$15))*$C181*E$172</f>
        <v>  3,393,155 </v>
      </c>
      <c r="F181" s="351" t="str">
        <f>((D123*(1-'5.Closing Stock &amp; W Capital'!$D$15))+(C123*'5.Closing Stock &amp; W Capital'!$D$15))*$C181*F$172</f>
        <v>  4,102,633 </v>
      </c>
      <c r="G181" s="351" t="str">
        <f>((E123*(1-'5.Closing Stock &amp; W Capital'!$D$15))+(D123*'5.Closing Stock &amp; W Capital'!$D$15))*$C181*G$172</f>
        <v>  4,874,575 </v>
      </c>
      <c r="H181" s="351" t="str">
        <f>((F123*(1-'5.Closing Stock &amp; W Capital'!$D$15))+(E123*'5.Closing Stock &amp; W Capital'!$D$15))*$C181*H$172</f>
        <v>  5,713,456 </v>
      </c>
      <c r="I181" s="351" t="str">
        <f>((G123*(1-'5.Closing Stock &amp; W Capital'!$D$15))+(F123*'5.Closing Stock &amp; W Capital'!$D$15))*$C181*I$172</f>
        <v>  6,624,038 </v>
      </c>
      <c r="J181" s="351" t="str">
        <f>((H123*(1-'5.Closing Stock &amp; W Capital'!$D$15))+(G123*'5.Closing Stock &amp; W Capital'!$D$15))*$C181*J$172</f>
        <v>  7,611,394 </v>
      </c>
      <c r="K181" s="110"/>
      <c r="L181" s="110"/>
    </row>
    <row r="182" ht="15.75" customHeight="1">
      <c r="A182" s="351" t="str">
        <f t="shared" si="93"/>
        <v> Channa</v>
      </c>
      <c r="B182" s="85" t="s">
        <v>616</v>
      </c>
      <c r="C182" s="355"/>
      <c r="D182" s="351" t="str">
        <f>(B124*(1-'5.Closing Stock &amp; W Capital'!$D$15))*$C182*D$172</f>
        <v>  -   </v>
      </c>
      <c r="E182" s="351" t="str">
        <f>((C124*(1-'5.Closing Stock &amp; W Capital'!$D$15))+(B124*'5.Closing Stock &amp; W Capital'!$D$15))*$C182*E$172</f>
        <v>  -   </v>
      </c>
      <c r="F182" s="351" t="str">
        <f>((D124*(1-'5.Closing Stock &amp; W Capital'!$D$15))+(C124*'5.Closing Stock &amp; W Capital'!$D$15))*$C182*F$172</f>
        <v>  -   </v>
      </c>
      <c r="G182" s="351" t="str">
        <f>((E124*(1-'5.Closing Stock &amp; W Capital'!$D$15))+(D124*'5.Closing Stock &amp; W Capital'!$D$15))*$C182*G$172</f>
        <v>  -   </v>
      </c>
      <c r="H182" s="351" t="str">
        <f>((F124*(1-'5.Closing Stock &amp; W Capital'!$D$15))+(E124*'5.Closing Stock &amp; W Capital'!$D$15))*$C182*H$172</f>
        <v>  -   </v>
      </c>
      <c r="I182" s="351" t="str">
        <f>((G124*(1-'5.Closing Stock &amp; W Capital'!$D$15))+(F124*'5.Closing Stock &amp; W Capital'!$D$15))*$C182*I$172</f>
        <v>  -   </v>
      </c>
      <c r="J182" s="351" t="str">
        <f>((H124*(1-'5.Closing Stock &amp; W Capital'!$D$15))+(G124*'5.Closing Stock &amp; W Capital'!$D$15))*$C182*J$172</f>
        <v>  -   </v>
      </c>
      <c r="K182" s="110"/>
      <c r="L182" s="110"/>
    </row>
    <row r="183" ht="15.75" customHeight="1">
      <c r="A183" s="351" t="str">
        <f t="shared" si="93"/>
        <v> Udid</v>
      </c>
      <c r="B183" s="85" t="s">
        <v>616</v>
      </c>
      <c r="C183" s="355">
        <v>6000.0</v>
      </c>
      <c r="D183" s="351" t="str">
        <f>(B125*(1-'5.Closing Stock &amp; W Capital'!$D$15))*$C183*D$172</f>
        <v>  -   </v>
      </c>
      <c r="E183" s="351" t="str">
        <f>((C125*(1-'5.Closing Stock &amp; W Capital'!$D$15))+(B125*'5.Closing Stock &amp; W Capital'!$D$15))*$C183*E$172</f>
        <v>  -   </v>
      </c>
      <c r="F183" s="351" t="str">
        <f>((D125*(1-'5.Closing Stock &amp; W Capital'!$D$15))+(C125*'5.Closing Stock &amp; W Capital'!$D$15))*$C183*F$172</f>
        <v>  -   </v>
      </c>
      <c r="G183" s="351" t="str">
        <f>((E125*(1-'5.Closing Stock &amp; W Capital'!$D$15))+(D125*'5.Closing Stock &amp; W Capital'!$D$15))*$C183*G$172</f>
        <v>  -   </v>
      </c>
      <c r="H183" s="351" t="str">
        <f>((F125*(1-'5.Closing Stock &amp; W Capital'!$D$15))+(E125*'5.Closing Stock &amp; W Capital'!$D$15))*$C183*H$172</f>
        <v>  -   </v>
      </c>
      <c r="I183" s="351" t="str">
        <f>((G125*(1-'5.Closing Stock &amp; W Capital'!$D$15))+(F125*'5.Closing Stock &amp; W Capital'!$D$15))*$C183*I$172</f>
        <v>  -   </v>
      </c>
      <c r="J183" s="351" t="str">
        <f>((H125*(1-'5.Closing Stock &amp; W Capital'!$D$15))+(G125*'5.Closing Stock &amp; W Capital'!$D$15))*$C183*J$172</f>
        <v>  -   </v>
      </c>
      <c r="K183" s="110"/>
      <c r="L183" s="110"/>
    </row>
    <row r="184" ht="15.75" customHeight="1">
      <c r="A184" s="351" t="str">
        <f t="shared" si="93"/>
        <v> Bajra</v>
      </c>
      <c r="B184" s="85" t="s">
        <v>616</v>
      </c>
      <c r="C184" s="355">
        <v>0.0</v>
      </c>
      <c r="D184" s="351" t="str">
        <f>(B126*(1-'5.Closing Stock &amp; W Capital'!$D$15))*$C184*D$172</f>
        <v>  -   </v>
      </c>
      <c r="E184" s="351" t="str">
        <f>((C126*(1-'5.Closing Stock &amp; W Capital'!$D$15))+(B126*'5.Closing Stock &amp; W Capital'!$D$15))*$C184*E$172</f>
        <v>  -   </v>
      </c>
      <c r="F184" s="351" t="str">
        <f>((D126*(1-'5.Closing Stock &amp; W Capital'!$D$15))+(C126*'5.Closing Stock &amp; W Capital'!$D$15))*$C184*F$172</f>
        <v>  -   </v>
      </c>
      <c r="G184" s="351" t="str">
        <f>((E126*(1-'5.Closing Stock &amp; W Capital'!$D$15))+(D126*'5.Closing Stock &amp; W Capital'!$D$15))*$C184*G$172</f>
        <v>  -   </v>
      </c>
      <c r="H184" s="351" t="str">
        <f>((F126*(1-'5.Closing Stock &amp; W Capital'!$D$15))+(E126*'5.Closing Stock &amp; W Capital'!$D$15))*$C184*H$172</f>
        <v>  -   </v>
      </c>
      <c r="I184" s="351" t="str">
        <f>((G126*(1-'5.Closing Stock &amp; W Capital'!$D$15))+(F126*'5.Closing Stock &amp; W Capital'!$D$15))*$C184*I$172</f>
        <v>  -   </v>
      </c>
      <c r="J184" s="351" t="str">
        <f>((H126*(1-'5.Closing Stock &amp; W Capital'!$D$15))+(G126*'5.Closing Stock &amp; W Capital'!$D$15))*$C184*J$172</f>
        <v>  -   </v>
      </c>
      <c r="K184" s="110"/>
      <c r="L184" s="110"/>
    </row>
    <row r="185" ht="15.75" customHeight="1">
      <c r="A185" s="351" t="str">
        <f t="shared" si="93"/>
        <v> Jawar</v>
      </c>
      <c r="B185" s="85" t="s">
        <v>616</v>
      </c>
      <c r="C185" s="355">
        <v>2000.0</v>
      </c>
      <c r="D185" s="351" t="str">
        <f>(B127*(1-'5.Closing Stock &amp; W Capital'!$D$15))*$C185*D$172</f>
        <v>  -   </v>
      </c>
      <c r="E185" s="351" t="str">
        <f>((C127*(1-'5.Closing Stock &amp; W Capital'!$D$15))+(B127*'5.Closing Stock &amp; W Capital'!$D$15))*$C185*E$172</f>
        <v>  -   </v>
      </c>
      <c r="F185" s="351" t="str">
        <f>((D127*(1-'5.Closing Stock &amp; W Capital'!$D$15))+(C127*'5.Closing Stock &amp; W Capital'!$D$15))*$C185*F$172</f>
        <v>  -   </v>
      </c>
      <c r="G185" s="351" t="str">
        <f>((E127*(1-'5.Closing Stock &amp; W Capital'!$D$15))+(D127*'5.Closing Stock &amp; W Capital'!$D$15))*$C185*G$172</f>
        <v>  -   </v>
      </c>
      <c r="H185" s="351" t="str">
        <f>((F127*(1-'5.Closing Stock &amp; W Capital'!$D$15))+(E127*'5.Closing Stock &amp; W Capital'!$D$15))*$C185*H$172</f>
        <v>  -   </v>
      </c>
      <c r="I185" s="351" t="str">
        <f>((G127*(1-'5.Closing Stock &amp; W Capital'!$D$15))+(F127*'5.Closing Stock &amp; W Capital'!$D$15))*$C185*I$172</f>
        <v>  -   </v>
      </c>
      <c r="J185" s="351" t="str">
        <f>((H127*(1-'5.Closing Stock &amp; W Capital'!$D$15))+(G127*'5.Closing Stock &amp; W Capital'!$D$15))*$C185*J$172</f>
        <v>  -   </v>
      </c>
      <c r="K185" s="110"/>
      <c r="L185" s="110"/>
    </row>
    <row r="186" ht="15.75" customHeight="1">
      <c r="A186" s="351" t="str">
        <f t="shared" si="93"/>
        <v/>
      </c>
      <c r="B186" s="85" t="s">
        <v>616</v>
      </c>
      <c r="C186" s="355">
        <v>5200.0</v>
      </c>
      <c r="D186" s="351" t="str">
        <f>(B128*(1-'5.Closing Stock &amp; W Capital'!$D$15))*$C186*D$172</f>
        <v>  -   </v>
      </c>
      <c r="E186" s="351" t="str">
        <f>((C128*(1-'5.Closing Stock &amp; W Capital'!$D$15))+(B128*'5.Closing Stock &amp; W Capital'!$D$15))*$C186*E$172</f>
        <v>  -   </v>
      </c>
      <c r="F186" s="351" t="str">
        <f>((D128*(1-'5.Closing Stock &amp; W Capital'!$D$15))+(C128*'5.Closing Stock &amp; W Capital'!$D$15))*$C186*F$172</f>
        <v>  -   </v>
      </c>
      <c r="G186" s="351" t="str">
        <f>((E128*(1-'5.Closing Stock &amp; W Capital'!$D$15))+(D128*'5.Closing Stock &amp; W Capital'!$D$15))*$C186*G$172</f>
        <v>  -   </v>
      </c>
      <c r="H186" s="351" t="str">
        <f>((F128*(1-'5.Closing Stock &amp; W Capital'!$D$15))+(E128*'5.Closing Stock &amp; W Capital'!$D$15))*$C186*H$172</f>
        <v>  -   </v>
      </c>
      <c r="I186" s="351" t="str">
        <f>((G128*(1-'5.Closing Stock &amp; W Capital'!$D$15))+(F128*'5.Closing Stock &amp; W Capital'!$D$15))*$C186*I$172</f>
        <v>  -   </v>
      </c>
      <c r="J186" s="351" t="str">
        <f>((H128*(1-'5.Closing Stock &amp; W Capital'!$D$15))+(G128*'5.Closing Stock &amp; W Capital'!$D$15))*$C186*J$172</f>
        <v>  -   </v>
      </c>
      <c r="K186" s="110"/>
      <c r="L186" s="110"/>
    </row>
    <row r="187" ht="15.75" customHeight="1">
      <c r="A187" s="351" t="str">
        <f t="shared" si="93"/>
        <v> Wheat</v>
      </c>
      <c r="B187" s="85" t="s">
        <v>616</v>
      </c>
      <c r="C187" s="355">
        <v>2200.0</v>
      </c>
      <c r="D187" s="351" t="str">
        <f>(B129*(1-'5.Closing Stock &amp; W Capital'!$D$15))*$C187*D$172</f>
        <v>  2,609,679 </v>
      </c>
      <c r="E187" s="351" t="str">
        <f>((C129*(1-'5.Closing Stock &amp; W Capital'!$D$15))+(B129*'5.Closing Stock &amp; W Capital'!$D$15))*$C187*E$172</f>
        <v>  5,023,632 </v>
      </c>
      <c r="F187" s="351" t="str">
        <f>((D129*(1-'5.Closing Stock &amp; W Capital'!$D$15))+(C129*'5.Closing Stock &amp; W Capital'!$D$15))*$C187*F$172</f>
        <v>  6,074,027 </v>
      </c>
      <c r="G187" s="351" t="str">
        <f>((E129*(1-'5.Closing Stock &amp; W Capital'!$D$15))+(D129*'5.Closing Stock &amp; W Capital'!$D$15))*$C187*G$172</f>
        <v>  7,216,904 </v>
      </c>
      <c r="H187" s="351" t="str">
        <f>((F129*(1-'5.Closing Stock &amp; W Capital'!$D$15))+(E129*'5.Closing Stock &amp; W Capital'!$D$15))*$C187*H$172</f>
        <v>  8,458,882 </v>
      </c>
      <c r="I187" s="351" t="str">
        <f>((G129*(1-'5.Closing Stock &amp; W Capital'!$D$15))+(F129*'5.Closing Stock &amp; W Capital'!$D$15))*$C187*I$172</f>
        <v>  9,807,017 </v>
      </c>
      <c r="J187" s="351" t="str">
        <f>((H129*(1-'5.Closing Stock &amp; W Capital'!$D$15))+(G129*'5.Closing Stock &amp; W Capital'!$D$15))*$C187*J$172</f>
        <v>  11,268,817 </v>
      </c>
      <c r="K187" s="110"/>
      <c r="L187" s="110"/>
    </row>
    <row r="188" ht="15.75" customHeight="1">
      <c r="A188" s="351" t="str">
        <f t="shared" si="93"/>
        <v> Channa</v>
      </c>
      <c r="B188" s="85" t="s">
        <v>616</v>
      </c>
      <c r="C188" s="355">
        <v>0.0</v>
      </c>
      <c r="D188" s="351" t="str">
        <f>(B130*(1-'5.Closing Stock &amp; W Capital'!$D$15))*$C188*D$172</f>
        <v>  -   </v>
      </c>
      <c r="E188" s="351" t="str">
        <f>((C130*(1-'5.Closing Stock &amp; W Capital'!$D$15))+(B130*'5.Closing Stock &amp; W Capital'!$D$15))*$C188*E$172</f>
        <v>  -   </v>
      </c>
      <c r="F188" s="351" t="str">
        <f>((D130*(1-'5.Closing Stock &amp; W Capital'!$D$15))+(C130*'5.Closing Stock &amp; W Capital'!$D$15))*$C188*F$172</f>
        <v>  -   </v>
      </c>
      <c r="G188" s="351" t="str">
        <f>((E130*(1-'5.Closing Stock &amp; W Capital'!$D$15))+(D130*'5.Closing Stock &amp; W Capital'!$D$15))*$C188*G$172</f>
        <v>  -   </v>
      </c>
      <c r="H188" s="351" t="str">
        <f>((F130*(1-'5.Closing Stock &amp; W Capital'!$D$15))+(E130*'5.Closing Stock &amp; W Capital'!$D$15))*$C188*H$172</f>
        <v>  -   </v>
      </c>
      <c r="I188" s="351" t="str">
        <f>((G130*(1-'5.Closing Stock &amp; W Capital'!$D$15))+(F130*'5.Closing Stock &amp; W Capital'!$D$15))*$C188*I$172</f>
        <v>  -   </v>
      </c>
      <c r="J188" s="351" t="str">
        <f>((H130*(1-'5.Closing Stock &amp; W Capital'!$D$15))+(G130*'5.Closing Stock &amp; W Capital'!$D$15))*$C188*J$172</f>
        <v>  -   </v>
      </c>
      <c r="K188" s="110"/>
      <c r="L188" s="110"/>
    </row>
    <row r="189" ht="15.75" customHeight="1">
      <c r="A189" s="351" t="str">
        <f t="shared" si="93"/>
        <v> Jawar</v>
      </c>
      <c r="B189" s="85" t="s">
        <v>616</v>
      </c>
      <c r="C189" s="355"/>
      <c r="D189" s="351" t="str">
        <f>(B131*(1-'5.Closing Stock &amp; W Capital'!$D$15))*$C189*D$172</f>
        <v>  -   </v>
      </c>
      <c r="E189" s="351" t="str">
        <f>((C131*(1-'5.Closing Stock &amp; W Capital'!$D$15))+(B131*'5.Closing Stock &amp; W Capital'!$D$15))*$C189*E$172</f>
        <v>  -   </v>
      </c>
      <c r="F189" s="351" t="str">
        <f>((D131*(1-'5.Closing Stock &amp; W Capital'!$D$15))+(C131*'5.Closing Stock &amp; W Capital'!$D$15))*$C189*F$172</f>
        <v>  -   </v>
      </c>
      <c r="G189" s="351" t="str">
        <f>((E131*(1-'5.Closing Stock &amp; W Capital'!$D$15))+(D131*'5.Closing Stock &amp; W Capital'!$D$15))*$C189*G$172</f>
        <v>  -   </v>
      </c>
      <c r="H189" s="351" t="str">
        <f>((F131*(1-'5.Closing Stock &amp; W Capital'!$D$15))+(E131*'5.Closing Stock &amp; W Capital'!$D$15))*$C189*H$172</f>
        <v>  -   </v>
      </c>
      <c r="I189" s="351" t="str">
        <f>((G131*(1-'5.Closing Stock &amp; W Capital'!$D$15))+(F131*'5.Closing Stock &amp; W Capital'!$D$15))*$C189*I$172</f>
        <v>  -   </v>
      </c>
      <c r="J189" s="351" t="str">
        <f>((H131*(1-'5.Closing Stock &amp; W Capital'!$D$15))+(G131*'5.Closing Stock &amp; W Capital'!$D$15))*$C189*J$172</f>
        <v>  -   </v>
      </c>
      <c r="K189" s="110"/>
      <c r="L189" s="110"/>
    </row>
    <row r="190" ht="15.75" customHeight="1">
      <c r="A190" s="351" t="str">
        <f t="shared" si="93"/>
        <v> Maize</v>
      </c>
      <c r="B190" s="85" t="s">
        <v>616</v>
      </c>
      <c r="C190" s="355"/>
      <c r="D190" s="351" t="str">
        <f>(B132*(1-'5.Closing Stock &amp; W Capital'!$D$15))*$C190*D$172</f>
        <v>  -   </v>
      </c>
      <c r="E190" s="351" t="str">
        <f>((C132*(1-'5.Closing Stock &amp; W Capital'!$D$15))+(B132*'5.Closing Stock &amp; W Capital'!$D$15))*$C190*E$172</f>
        <v>  -   </v>
      </c>
      <c r="F190" s="351" t="str">
        <f>((D132*(1-'5.Closing Stock &amp; W Capital'!$D$15))+(C132*'5.Closing Stock &amp; W Capital'!$D$15))*$C190*F$172</f>
        <v>  -   </v>
      </c>
      <c r="G190" s="351" t="str">
        <f>((E132*(1-'5.Closing Stock &amp; W Capital'!$D$15))+(D132*'5.Closing Stock &amp; W Capital'!$D$15))*$C190*G$172</f>
        <v>  -   </v>
      </c>
      <c r="H190" s="351" t="str">
        <f>((F132*(1-'5.Closing Stock &amp; W Capital'!$D$15))+(E132*'5.Closing Stock &amp; W Capital'!$D$15))*$C190*H$172</f>
        <v>  -   </v>
      </c>
      <c r="I190" s="351" t="str">
        <f>((G132*(1-'5.Closing Stock &amp; W Capital'!$D$15))+(F132*'5.Closing Stock &amp; W Capital'!$D$15))*$C190*I$172</f>
        <v>  -   </v>
      </c>
      <c r="J190" s="351" t="str">
        <f>((H132*(1-'5.Closing Stock &amp; W Capital'!$D$15))+(G132*'5.Closing Stock &amp; W Capital'!$D$15))*$C190*J$172</f>
        <v>  -   </v>
      </c>
      <c r="K190" s="110"/>
      <c r="L190" s="110"/>
    </row>
    <row r="191" ht="15.75" customHeight="1">
      <c r="A191" s="351" t="str">
        <f t="shared" si="93"/>
        <v> Safflower</v>
      </c>
      <c r="B191" s="85" t="s">
        <v>616</v>
      </c>
      <c r="C191" s="355"/>
      <c r="D191" s="351" t="str">
        <f>(B133*(1-'5.Closing Stock &amp; W Capital'!$D$15))*$C191*D$172</f>
        <v>  -   </v>
      </c>
      <c r="E191" s="351" t="str">
        <f>((C133*(1-'5.Closing Stock &amp; W Capital'!$D$15))+(B133*'5.Closing Stock &amp; W Capital'!$D$15))*$C191*E$172</f>
        <v>  -   </v>
      </c>
      <c r="F191" s="351" t="str">
        <f>((D133*(1-'5.Closing Stock &amp; W Capital'!$D$15))+(C133*'5.Closing Stock &amp; W Capital'!$D$15))*$C191*F$172</f>
        <v>  -   </v>
      </c>
      <c r="G191" s="351" t="str">
        <f>((E133*(1-'5.Closing Stock &amp; W Capital'!$D$15))+(D133*'5.Closing Stock &amp; W Capital'!$D$15))*$C191*G$172</f>
        <v>  -   </v>
      </c>
      <c r="H191" s="351" t="str">
        <f>((F133*(1-'5.Closing Stock &amp; W Capital'!$D$15))+(E133*'5.Closing Stock &amp; W Capital'!$D$15))*$C191*H$172</f>
        <v>  -   </v>
      </c>
      <c r="I191" s="351" t="str">
        <f>((G133*(1-'5.Closing Stock &amp; W Capital'!$D$15))+(F133*'5.Closing Stock &amp; W Capital'!$D$15))*$C191*I$172</f>
        <v>  -   </v>
      </c>
      <c r="J191" s="351" t="str">
        <f>((H133*(1-'5.Closing Stock &amp; W Capital'!$D$15))+(G133*'5.Closing Stock &amp; W Capital'!$D$15))*$C191*J$172</f>
        <v>  -   </v>
      </c>
      <c r="K191" s="110"/>
      <c r="L191" s="110"/>
    </row>
    <row r="192" ht="15.75" customHeight="1">
      <c r="A192" s="351" t="str">
        <f t="shared" si="93"/>
        <v> Groundnut</v>
      </c>
      <c r="B192" s="85" t="s">
        <v>616</v>
      </c>
      <c r="C192" s="355"/>
      <c r="D192" s="351" t="str">
        <f>(B134*(1-'5.Closing Stock &amp; W Capital'!$D$15))*$C192*D$172</f>
        <v>  -   </v>
      </c>
      <c r="E192" s="351" t="str">
        <f>((C134*(1-'5.Closing Stock &amp; W Capital'!$D$15))+(B134*'5.Closing Stock &amp; W Capital'!$D$15))*$C192*E$172</f>
        <v>  -   </v>
      </c>
      <c r="F192" s="351" t="str">
        <f>((D134*(1-'5.Closing Stock &amp; W Capital'!$D$15))+(C134*'5.Closing Stock &amp; W Capital'!$D$15))*$C192*F$172</f>
        <v>  -   </v>
      </c>
      <c r="G192" s="351" t="str">
        <f>((E134*(1-'5.Closing Stock &amp; W Capital'!$D$15))+(D134*'5.Closing Stock &amp; W Capital'!$D$15))*$C192*G$172</f>
        <v>  -   </v>
      </c>
      <c r="H192" s="351" t="str">
        <f>((F134*(1-'5.Closing Stock &amp; W Capital'!$D$15))+(E134*'5.Closing Stock &amp; W Capital'!$D$15))*$C192*H$172</f>
        <v>  -   </v>
      </c>
      <c r="I192" s="351" t="str">
        <f>((G134*(1-'5.Closing Stock &amp; W Capital'!$D$15))+(F134*'5.Closing Stock &amp; W Capital'!$D$15))*$C192*I$172</f>
        <v>  -   </v>
      </c>
      <c r="J192" s="351" t="str">
        <f>((H134*(1-'5.Closing Stock &amp; W Capital'!$D$15))+(G134*'5.Closing Stock &amp; W Capital'!$D$15))*$C192*J$172</f>
        <v>  -   </v>
      </c>
      <c r="K192" s="110"/>
      <c r="L192" s="110"/>
    </row>
    <row r="193" ht="15.75" customHeight="1">
      <c r="A193" s="351" t="str">
        <f t="shared" si="93"/>
        <v/>
      </c>
      <c r="B193" s="85" t="s">
        <v>616</v>
      </c>
      <c r="C193" s="355"/>
      <c r="D193" s="351" t="str">
        <f>(B135*(1-'5.Closing Stock &amp; W Capital'!$D$15))*$C193*D$172</f>
        <v>  -   </v>
      </c>
      <c r="E193" s="351" t="str">
        <f>((C135*(1-'5.Closing Stock &amp; W Capital'!$D$15))+(B135*'5.Closing Stock &amp; W Capital'!$D$15))*$C193*E$172</f>
        <v>  -   </v>
      </c>
      <c r="F193" s="351" t="str">
        <f>((D135*(1-'5.Closing Stock &amp; W Capital'!$D$15))+(C135*'5.Closing Stock &amp; W Capital'!$D$15))*$C193*F$172</f>
        <v>  -   </v>
      </c>
      <c r="G193" s="351" t="str">
        <f>((E135*(1-'5.Closing Stock &amp; W Capital'!$D$15))+(D135*'5.Closing Stock &amp; W Capital'!$D$15))*$C193*G$172</f>
        <v>  -   </v>
      </c>
      <c r="H193" s="351" t="str">
        <f>((F135*(1-'5.Closing Stock &amp; W Capital'!$D$15))+(E135*'5.Closing Stock &amp; W Capital'!$D$15))*$C193*H$172</f>
        <v>  -   </v>
      </c>
      <c r="I193" s="351" t="str">
        <f>((G135*(1-'5.Closing Stock &amp; W Capital'!$D$15))+(F135*'5.Closing Stock &amp; W Capital'!$D$15))*$C193*I$172</f>
        <v>  -   </v>
      </c>
      <c r="J193" s="351" t="str">
        <f>((H135*(1-'5.Closing Stock &amp; W Capital'!$D$15))+(G135*'5.Closing Stock &amp; W Capital'!$D$15))*$C193*J$172</f>
        <v>  -   </v>
      </c>
      <c r="K193" s="110"/>
      <c r="L193" s="110"/>
    </row>
    <row r="194" ht="15.75" customHeight="1">
      <c r="A194" s="351" t="str">
        <f t="shared" si="93"/>
        <v/>
      </c>
      <c r="B194" s="85" t="s">
        <v>616</v>
      </c>
      <c r="C194" s="355"/>
      <c r="D194" s="351" t="str">
        <f>(B136*(1-'5.Closing Stock &amp; W Capital'!$D$15))*$C194*D$172</f>
        <v>  -   </v>
      </c>
      <c r="E194" s="351" t="str">
        <f>((C136*(1-'5.Closing Stock &amp; W Capital'!$D$15))+(B136*'5.Closing Stock &amp; W Capital'!$D$15))*$C194*E$172</f>
        <v>  -   </v>
      </c>
      <c r="F194" s="351" t="str">
        <f>((D136*(1-'5.Closing Stock &amp; W Capital'!$D$15))+(C136*'5.Closing Stock &amp; W Capital'!$D$15))*$C194*F$172</f>
        <v>  -   </v>
      </c>
      <c r="G194" s="351" t="str">
        <f>((E136*(1-'5.Closing Stock &amp; W Capital'!$D$15))+(D136*'5.Closing Stock &amp; W Capital'!$D$15))*$C194*G$172</f>
        <v>  -   </v>
      </c>
      <c r="H194" s="351" t="str">
        <f>((F136*(1-'5.Closing Stock &amp; W Capital'!$D$15))+(E136*'5.Closing Stock &amp; W Capital'!$D$15))*$C194*H$172</f>
        <v>  -   </v>
      </c>
      <c r="I194" s="351" t="str">
        <f>((G136*(1-'5.Closing Stock &amp; W Capital'!$D$15))+(F136*'5.Closing Stock &amp; W Capital'!$D$15))*$C194*I$172</f>
        <v>  -   </v>
      </c>
      <c r="J194" s="351" t="str">
        <f>((H136*(1-'5.Closing Stock &amp; W Capital'!$D$15))+(G136*'5.Closing Stock &amp; W Capital'!$D$15))*$C194*J$172</f>
        <v>  -   </v>
      </c>
      <c r="K194" s="110"/>
      <c r="L194" s="110"/>
    </row>
    <row r="195" ht="15.75" customHeight="1">
      <c r="A195" s="351" t="str">
        <f t="shared" si="93"/>
        <v> Soybean</v>
      </c>
      <c r="B195" s="85" t="s">
        <v>616</v>
      </c>
      <c r="C195" s="355"/>
      <c r="D195" s="351" t="str">
        <f>(B137*(1-'5.Closing Stock &amp; W Capital'!$D$15))*$C195*D$172</f>
        <v>  -   </v>
      </c>
      <c r="E195" s="351" t="str">
        <f>((C137*(1-'5.Closing Stock &amp; W Capital'!$D$15))+(B137*'5.Closing Stock &amp; W Capital'!$D$15))*$C195*E$172</f>
        <v>  -   </v>
      </c>
      <c r="F195" s="351" t="str">
        <f>((D137*(1-'5.Closing Stock &amp; W Capital'!$D$15))+(C137*'5.Closing Stock &amp; W Capital'!$D$15))*$C195*F$172</f>
        <v>  -   </v>
      </c>
      <c r="G195" s="351" t="str">
        <f>((E137*(1-'5.Closing Stock &amp; W Capital'!$D$15))+(D137*'5.Closing Stock &amp; W Capital'!$D$15))*$C195*G$172</f>
        <v>  -   </v>
      </c>
      <c r="H195" s="351" t="str">
        <f>((F137*(1-'5.Closing Stock &amp; W Capital'!$D$15))+(E137*'5.Closing Stock &amp; W Capital'!$D$15))*$C195*H$172</f>
        <v>  -   </v>
      </c>
      <c r="I195" s="351" t="str">
        <f>((G137*(1-'5.Closing Stock &amp; W Capital'!$D$15))+(F137*'5.Closing Stock &amp; W Capital'!$D$15))*$C195*I$172</f>
        <v>  -   </v>
      </c>
      <c r="J195" s="351" t="str">
        <f>((H137*(1-'5.Closing Stock &amp; W Capital'!$D$15))+(G137*'5.Closing Stock &amp; W Capital'!$D$15))*$C195*J$172</f>
        <v>  -   </v>
      </c>
      <c r="K195" s="110"/>
      <c r="L195" s="110"/>
    </row>
    <row r="196" ht="15.75" customHeight="1">
      <c r="A196" s="351" t="str">
        <f t="shared" si="93"/>
        <v/>
      </c>
      <c r="B196" s="85" t="s">
        <v>616</v>
      </c>
      <c r="C196" s="355"/>
      <c r="D196" s="351" t="str">
        <f>(B138*(1-'5.Closing Stock &amp; W Capital'!$D$15))*$C196*D$172</f>
        <v>  -   </v>
      </c>
      <c r="E196" s="351" t="str">
        <f>((C138*(1-'5.Closing Stock &amp; W Capital'!$D$15))+(B138*'5.Closing Stock &amp; W Capital'!$D$15))*$C196*E$172</f>
        <v>  -   </v>
      </c>
      <c r="F196" s="351" t="str">
        <f>((D138*(1-'5.Closing Stock &amp; W Capital'!$D$15))+(C138*'5.Closing Stock &amp; W Capital'!$D$15))*$C196*F$172</f>
        <v>  -   </v>
      </c>
      <c r="G196" s="351" t="str">
        <f>((E138*(1-'5.Closing Stock &amp; W Capital'!$D$15))+(D138*'5.Closing Stock &amp; W Capital'!$D$15))*$C196*G$172</f>
        <v>  -   </v>
      </c>
      <c r="H196" s="351" t="str">
        <f>((F138*(1-'5.Closing Stock &amp; W Capital'!$D$15))+(E138*'5.Closing Stock &amp; W Capital'!$D$15))*$C196*H$172</f>
        <v>  -   </v>
      </c>
      <c r="I196" s="351" t="str">
        <f>((G138*(1-'5.Closing Stock &amp; W Capital'!$D$15))+(F138*'5.Closing Stock &amp; W Capital'!$D$15))*$C196*I$172</f>
        <v>  -   </v>
      </c>
      <c r="J196" s="351" t="str">
        <f>((H138*(1-'5.Closing Stock &amp; W Capital'!$D$15))+(G138*'5.Closing Stock &amp; W Capital'!$D$15))*$C196*J$172</f>
        <v>  -   </v>
      </c>
      <c r="K196" s="110"/>
      <c r="L196" s="110"/>
    </row>
    <row r="197" ht="15.75" customHeight="1">
      <c r="A197" s="351" t="str">
        <f t="shared" si="93"/>
        <v/>
      </c>
      <c r="B197" s="85" t="s">
        <v>616</v>
      </c>
      <c r="C197" s="355"/>
      <c r="D197" s="351" t="str">
        <f>(B139*(1-'5.Closing Stock &amp; W Capital'!$D$15))*$C197*D$172</f>
        <v>  -   </v>
      </c>
      <c r="E197" s="351" t="str">
        <f>((C139*(1-'5.Closing Stock &amp; W Capital'!$D$15))+(B139*'5.Closing Stock &amp; W Capital'!$D$15))*$C197*E$172</f>
        <v>  -   </v>
      </c>
      <c r="F197" s="351" t="str">
        <f>((D139*(1-'5.Closing Stock &amp; W Capital'!$D$15))+(C139*'5.Closing Stock &amp; W Capital'!$D$15))*$C197*F$172</f>
        <v>  -   </v>
      </c>
      <c r="G197" s="351" t="str">
        <f>((E139*(1-'5.Closing Stock &amp; W Capital'!$D$15))+(D139*'5.Closing Stock &amp; W Capital'!$D$15))*$C197*G$172</f>
        <v>  -   </v>
      </c>
      <c r="H197" s="351" t="str">
        <f>((F139*(1-'5.Closing Stock &amp; W Capital'!$D$15))+(E139*'5.Closing Stock &amp; W Capital'!$D$15))*$C197*H$172</f>
        <v>  -   </v>
      </c>
      <c r="I197" s="351" t="str">
        <f>((G139*(1-'5.Closing Stock &amp; W Capital'!$D$15))+(F139*'5.Closing Stock &amp; W Capital'!$D$15))*$C197*I$172</f>
        <v>  -   </v>
      </c>
      <c r="J197" s="351" t="str">
        <f>((H139*(1-'5.Closing Stock &amp; W Capital'!$D$15))+(G139*'5.Closing Stock &amp; W Capital'!$D$15))*$C197*J$172</f>
        <v>  -   </v>
      </c>
      <c r="K197" s="110"/>
      <c r="L197" s="110"/>
    </row>
    <row r="198" ht="15.75" customHeight="1">
      <c r="A198" s="351" t="str">
        <f t="shared" si="93"/>
        <v/>
      </c>
      <c r="B198" s="85" t="s">
        <v>616</v>
      </c>
      <c r="C198" s="355"/>
      <c r="D198" s="351" t="str">
        <f>(B140*(1-'5.Closing Stock &amp; W Capital'!$D$15))*$C198*D$172</f>
        <v>  -   </v>
      </c>
      <c r="E198" s="351" t="str">
        <f>((C140*(1-'5.Closing Stock &amp; W Capital'!$D$15))+(B140*'5.Closing Stock &amp; W Capital'!$D$15))*$C198*E$172</f>
        <v>  -   </v>
      </c>
      <c r="F198" s="351" t="str">
        <f>((D140*(1-'5.Closing Stock &amp; W Capital'!$D$15))+(C140*'5.Closing Stock &amp; W Capital'!$D$15))*$C198*F$172</f>
        <v>  -   </v>
      </c>
      <c r="G198" s="351" t="str">
        <f>((E140*(1-'5.Closing Stock &amp; W Capital'!$D$15))+(D140*'5.Closing Stock &amp; W Capital'!$D$15))*$C198*G$172</f>
        <v>  -   </v>
      </c>
      <c r="H198" s="351" t="str">
        <f>((F140*(1-'5.Closing Stock &amp; W Capital'!$D$15))+(E140*'5.Closing Stock &amp; W Capital'!$D$15))*$C198*H$172</f>
        <v>  -   </v>
      </c>
      <c r="I198" s="351" t="str">
        <f>((G140*(1-'5.Closing Stock &amp; W Capital'!$D$15))+(F140*'5.Closing Stock &amp; W Capital'!$D$15))*$C198*I$172</f>
        <v>  -   </v>
      </c>
      <c r="J198" s="351" t="str">
        <f>((H140*(1-'5.Closing Stock &amp; W Capital'!$D$15))+(G140*'5.Closing Stock &amp; W Capital'!$D$15))*$C198*J$172</f>
        <v>  -   </v>
      </c>
      <c r="K198" s="110"/>
      <c r="L198" s="110"/>
    </row>
    <row r="199" ht="15.75" customHeight="1">
      <c r="A199" s="85"/>
      <c r="B199" s="85" t="s">
        <v>616</v>
      </c>
      <c r="C199" s="355"/>
      <c r="D199" s="351" t="str">
        <f>(B141*(1-'5.Closing Stock &amp; W Capital'!$D$15))*$C199*D$172</f>
        <v>  -   </v>
      </c>
      <c r="E199" s="351" t="str">
        <f>((C141*(1-'5.Closing Stock &amp; W Capital'!$D$15))+(B141*'5.Closing Stock &amp; W Capital'!$D$15))*$C199*E$172</f>
        <v>  -   </v>
      </c>
      <c r="F199" s="351" t="str">
        <f>((D141*(1-'5.Closing Stock &amp; W Capital'!$D$15))+(C141*'5.Closing Stock &amp; W Capital'!$D$15))*$C199*F$172</f>
        <v>  -   </v>
      </c>
      <c r="G199" s="351" t="str">
        <f>((E141*(1-'5.Closing Stock &amp; W Capital'!$D$15))+(D141*'5.Closing Stock &amp; W Capital'!$D$15))*$C199*G$172</f>
        <v>  -   </v>
      </c>
      <c r="H199" s="351" t="str">
        <f>((F141*(1-'5.Closing Stock &amp; W Capital'!$D$15))+(E141*'5.Closing Stock &amp; W Capital'!$D$15))*$C199*H$172</f>
        <v>  -   </v>
      </c>
      <c r="I199" s="351" t="str">
        <f>((G141*(1-'5.Closing Stock &amp; W Capital'!$D$15))+(F141*'5.Closing Stock &amp; W Capital'!$D$15))*$C199*I$172</f>
        <v>  -   </v>
      </c>
      <c r="J199" s="351" t="str">
        <f>((H141*(1-'5.Closing Stock &amp; W Capital'!$D$15))+(G141*'5.Closing Stock &amp; W Capital'!$D$15))*$C199*J$172</f>
        <v>  -   </v>
      </c>
      <c r="K199" s="110"/>
      <c r="L199" s="110"/>
    </row>
    <row r="200" ht="15.75" customHeight="1">
      <c r="A200" s="117" t="s">
        <v>617</v>
      </c>
      <c r="B200" s="85" t="s">
        <v>616</v>
      </c>
      <c r="C200" s="77">
        <v>25.0</v>
      </c>
      <c r="D200" s="351" t="str">
        <f t="shared" ref="D200:J200" si="94">B65*$C$200*D172</f>
        <v>  427,970 </v>
      </c>
      <c r="E200" s="351" t="str">
        <f t="shared" si="94"/>
        <v>  524,264 </v>
      </c>
      <c r="F200" s="351" t="str">
        <f t="shared" si="94"/>
        <v>  629,116 </v>
      </c>
      <c r="G200" s="351" t="str">
        <f t="shared" si="94"/>
        <v>  743,144 </v>
      </c>
      <c r="H200" s="351" t="str">
        <f t="shared" si="94"/>
        <v>  867,001 </v>
      </c>
      <c r="I200" s="351" t="str">
        <f t="shared" si="94"/>
        <v>  1,001,386 </v>
      </c>
      <c r="J200" s="351" t="str">
        <f t="shared" si="94"/>
        <v>  1,147,042 </v>
      </c>
      <c r="K200" s="110"/>
      <c r="L200" s="110"/>
    </row>
    <row r="201" ht="15.75" customHeight="1">
      <c r="A201" s="117"/>
      <c r="B201" s="117"/>
      <c r="C201" s="117"/>
      <c r="D201" s="85"/>
      <c r="E201" s="85"/>
      <c r="F201" s="85"/>
      <c r="G201" s="85"/>
      <c r="H201" s="85"/>
      <c r="I201" s="85"/>
      <c r="J201" s="85"/>
      <c r="K201" s="110"/>
      <c r="L201" s="110"/>
    </row>
    <row r="202" ht="15.75" customHeight="1">
      <c r="A202" s="347" t="str">
        <f t="shared" ref="A202:A227" si="95">A143</f>
        <v> Fruit  &amp; Vegetables Crop Production Details</v>
      </c>
      <c r="B202" s="117"/>
      <c r="C202" s="117"/>
      <c r="D202" s="85"/>
      <c r="E202" s="85"/>
      <c r="F202" s="85"/>
      <c r="G202" s="85"/>
      <c r="H202" s="85"/>
      <c r="I202" s="85"/>
      <c r="J202" s="85"/>
      <c r="K202" s="110"/>
      <c r="L202" s="110"/>
    </row>
    <row r="203" ht="15.75" customHeight="1">
      <c r="A203" s="347" t="str">
        <f t="shared" si="95"/>
        <v> Onion</v>
      </c>
      <c r="B203" s="85" t="s">
        <v>616</v>
      </c>
      <c r="C203" s="356">
        <v>0.0</v>
      </c>
      <c r="D203" s="351" t="str">
        <f>(B144*(1-'5.Closing Stock &amp; W Capital'!$D$15))*$C203*D$172</f>
        <v>  -   </v>
      </c>
      <c r="E203" s="351" t="str">
        <f>((C144*(1-'5.Closing Stock &amp; W Capital'!$D$15))+(B144*'5.Closing Stock &amp; W Capital'!$D$15))*$C203*E$172</f>
        <v>  -   </v>
      </c>
      <c r="F203" s="351" t="str">
        <f>((D144*(1-'5.Closing Stock &amp; W Capital'!$D$15))+(C144*'5.Closing Stock &amp; W Capital'!$D$15))*$C203*F$172</f>
        <v>  -   </v>
      </c>
      <c r="G203" s="351" t="str">
        <f>((E144*(1-'5.Closing Stock &amp; W Capital'!$D$15))+(D144*'5.Closing Stock &amp; W Capital'!$D$15))*$C203*G$172</f>
        <v>  -   </v>
      </c>
      <c r="H203" s="351" t="str">
        <f>((F144*(1-'5.Closing Stock &amp; W Capital'!$D$15))+(E144*'5.Closing Stock &amp; W Capital'!$D$15))*$C203*H$172</f>
        <v>  -   </v>
      </c>
      <c r="I203" s="351" t="str">
        <f>((G144*(1-'5.Closing Stock &amp; W Capital'!$D$15))+(F144*'5.Closing Stock &amp; W Capital'!$D$15))*$C203*I$172</f>
        <v>  -   </v>
      </c>
      <c r="J203" s="351" t="str">
        <f>((H144*(1-'5.Closing Stock &amp; W Capital'!$D$15))+(G144*'5.Closing Stock &amp; W Capital'!$D$15))*$C203*J$172</f>
        <v>  -   </v>
      </c>
      <c r="K203" s="110"/>
      <c r="L203" s="110"/>
    </row>
    <row r="204" ht="15.75" customHeight="1">
      <c r="A204" s="347" t="str">
        <f t="shared" si="95"/>
        <v> Tomato</v>
      </c>
      <c r="B204" s="85" t="s">
        <v>616</v>
      </c>
      <c r="C204" s="355">
        <v>0.0</v>
      </c>
      <c r="D204" s="351" t="str">
        <f>(B145*(1-'5.Closing Stock &amp; W Capital'!$D$15))*$C204*D$172</f>
        <v>  -   </v>
      </c>
      <c r="E204" s="351" t="str">
        <f>((C145*(1-'5.Closing Stock &amp; W Capital'!$D$15))+(B145*'5.Closing Stock &amp; W Capital'!$D$15))*$C204*E$172</f>
        <v>  -   </v>
      </c>
      <c r="F204" s="351" t="str">
        <f>((D145*(1-'5.Closing Stock &amp; W Capital'!$D$15))+(C145*'5.Closing Stock &amp; W Capital'!$D$15))*$C204*F$172</f>
        <v>  -   </v>
      </c>
      <c r="G204" s="351" t="str">
        <f>((E145*(1-'5.Closing Stock &amp; W Capital'!$D$15))+(D145*'5.Closing Stock &amp; W Capital'!$D$15))*$C204*G$172</f>
        <v>  -   </v>
      </c>
      <c r="H204" s="351" t="str">
        <f>((F145*(1-'5.Closing Stock &amp; W Capital'!$D$15))+(E145*'5.Closing Stock &amp; W Capital'!$D$15))*$C204*H$172</f>
        <v>  -   </v>
      </c>
      <c r="I204" s="351" t="str">
        <f>((G145*(1-'5.Closing Stock &amp; W Capital'!$D$15))+(F145*'5.Closing Stock &amp; W Capital'!$D$15))*$C204*I$172</f>
        <v>  -   </v>
      </c>
      <c r="J204" s="351" t="str">
        <f>((H145*(1-'5.Closing Stock &amp; W Capital'!$D$15))+(G145*'5.Closing Stock &amp; W Capital'!$D$15))*$C204*J$172</f>
        <v>  -   </v>
      </c>
      <c r="K204" s="110"/>
      <c r="L204" s="110"/>
    </row>
    <row r="205" ht="15.75" customHeight="1">
      <c r="A205" s="347" t="str">
        <f t="shared" si="95"/>
        <v> Okra</v>
      </c>
      <c r="B205" s="85" t="s">
        <v>616</v>
      </c>
      <c r="C205" s="355">
        <v>0.0</v>
      </c>
      <c r="D205" s="351" t="str">
        <f>(B146*(1-'5.Closing Stock &amp; W Capital'!$D$15))*$C205*D$172</f>
        <v>  -   </v>
      </c>
      <c r="E205" s="351" t="str">
        <f>((C146*(1-'5.Closing Stock &amp; W Capital'!$D$15))+(B146*'5.Closing Stock &amp; W Capital'!$D$15))*$C205*E$172</f>
        <v>  -   </v>
      </c>
      <c r="F205" s="351" t="str">
        <f>((D146*(1-'5.Closing Stock &amp; W Capital'!$D$15))+(C146*'5.Closing Stock &amp; W Capital'!$D$15))*$C205*F$172</f>
        <v>  -   </v>
      </c>
      <c r="G205" s="351" t="str">
        <f>((E146*(1-'5.Closing Stock &amp; W Capital'!$D$15))+(D146*'5.Closing Stock &amp; W Capital'!$D$15))*$C205*G$172</f>
        <v>  -   </v>
      </c>
      <c r="H205" s="351" t="str">
        <f>((F146*(1-'5.Closing Stock &amp; W Capital'!$D$15))+(E146*'5.Closing Stock &amp; W Capital'!$D$15))*$C205*H$172</f>
        <v>  -   </v>
      </c>
      <c r="I205" s="351" t="str">
        <f>((G146*(1-'5.Closing Stock &amp; W Capital'!$D$15))+(F146*'5.Closing Stock &amp; W Capital'!$D$15))*$C205*I$172</f>
        <v>  -   </v>
      </c>
      <c r="J205" s="351" t="str">
        <f>((H146*(1-'5.Closing Stock &amp; W Capital'!$D$15))+(G146*'5.Closing Stock &amp; W Capital'!$D$15))*$C205*J$172</f>
        <v>  -   </v>
      </c>
      <c r="K205" s="110"/>
      <c r="L205" s="110"/>
    </row>
    <row r="206" ht="15.75" customHeight="1">
      <c r="A206" s="347" t="str">
        <f t="shared" si="95"/>
        <v> Chilli</v>
      </c>
      <c r="B206" s="85" t="s">
        <v>616</v>
      </c>
      <c r="C206" s="355">
        <v>0.0</v>
      </c>
      <c r="D206" s="351" t="str">
        <f>(B147*(1-'5.Closing Stock &amp; W Capital'!$D$15))*$C206*D$172</f>
        <v>  -   </v>
      </c>
      <c r="E206" s="351" t="str">
        <f>((C147*(1-'5.Closing Stock &amp; W Capital'!$D$15))+(B147*'5.Closing Stock &amp; W Capital'!$D$15))*$C206*E$172</f>
        <v>  -   </v>
      </c>
      <c r="F206" s="351" t="str">
        <f>((D147*(1-'5.Closing Stock &amp; W Capital'!$D$15))+(C147*'5.Closing Stock &amp; W Capital'!$D$15))*$C206*F$172</f>
        <v>  -   </v>
      </c>
      <c r="G206" s="351" t="str">
        <f>((E147*(1-'5.Closing Stock &amp; W Capital'!$D$15))+(D147*'5.Closing Stock &amp; W Capital'!$D$15))*$C206*G$172</f>
        <v>  -   </v>
      </c>
      <c r="H206" s="351" t="str">
        <f>((F147*(1-'5.Closing Stock &amp; W Capital'!$D$15))+(E147*'5.Closing Stock &amp; W Capital'!$D$15))*$C206*H$172</f>
        <v>  -   </v>
      </c>
      <c r="I206" s="351" t="str">
        <f>((G147*(1-'5.Closing Stock &amp; W Capital'!$D$15))+(F147*'5.Closing Stock &amp; W Capital'!$D$15))*$C206*I$172</f>
        <v>  -   </v>
      </c>
      <c r="J206" s="351" t="str">
        <f>((H147*(1-'5.Closing Stock &amp; W Capital'!$D$15))+(G147*'5.Closing Stock &amp; W Capital'!$D$15))*$C206*J$172</f>
        <v>  -   </v>
      </c>
      <c r="K206" s="110"/>
      <c r="L206" s="110"/>
    </row>
    <row r="207" ht="15.75" customHeight="1">
      <c r="A207" s="347" t="str">
        <f t="shared" si="95"/>
        <v> Potato</v>
      </c>
      <c r="B207" s="85" t="s">
        <v>616</v>
      </c>
      <c r="C207" s="355">
        <v>0.0</v>
      </c>
      <c r="D207" s="351" t="str">
        <f>(B148*(1-'5.Closing Stock &amp; W Capital'!$D$15))*$C207*D$172</f>
        <v>  -   </v>
      </c>
      <c r="E207" s="351" t="str">
        <f>((C148*(1-'5.Closing Stock &amp; W Capital'!$D$15))+(B148*'5.Closing Stock &amp; W Capital'!$D$15))*$C207*E$172</f>
        <v>  -   </v>
      </c>
      <c r="F207" s="351" t="str">
        <f>((D148*(1-'5.Closing Stock &amp; W Capital'!$D$15))+(C148*'5.Closing Stock &amp; W Capital'!$D$15))*$C207*F$172</f>
        <v>  -   </v>
      </c>
      <c r="G207" s="351" t="str">
        <f>((E148*(1-'5.Closing Stock &amp; W Capital'!$D$15))+(D148*'5.Closing Stock &amp; W Capital'!$D$15))*$C207*G$172</f>
        <v>  -   </v>
      </c>
      <c r="H207" s="351" t="str">
        <f>((F148*(1-'5.Closing Stock &amp; W Capital'!$D$15))+(E148*'5.Closing Stock &amp; W Capital'!$D$15))*$C207*H$172</f>
        <v>  -   </v>
      </c>
      <c r="I207" s="351" t="str">
        <f>((G148*(1-'5.Closing Stock &amp; W Capital'!$D$15))+(F148*'5.Closing Stock &amp; W Capital'!$D$15))*$C207*I$172</f>
        <v>  -   </v>
      </c>
      <c r="J207" s="351" t="str">
        <f>((H148*(1-'5.Closing Stock &amp; W Capital'!$D$15))+(G148*'5.Closing Stock &amp; W Capital'!$D$15))*$C207*J$172</f>
        <v>  -   </v>
      </c>
      <c r="K207" s="110"/>
      <c r="L207" s="110"/>
    </row>
    <row r="208" ht="15.75" customHeight="1">
      <c r="A208" s="347" t="str">
        <f t="shared" si="95"/>
        <v/>
      </c>
      <c r="B208" s="85" t="s">
        <v>616</v>
      </c>
      <c r="C208" s="77"/>
      <c r="D208" s="351" t="str">
        <f>(B149*(1-'5.Closing Stock &amp; W Capital'!$D$15))*$C208*D$172</f>
        <v>  -   </v>
      </c>
      <c r="E208" s="351" t="str">
        <f>((C149*(1-'5.Closing Stock &amp; W Capital'!$D$15))+(B149*'5.Closing Stock &amp; W Capital'!$D$15))*$C208*E$172</f>
        <v>  -   </v>
      </c>
      <c r="F208" s="351" t="str">
        <f>((D149*(1-'5.Closing Stock &amp; W Capital'!$D$15))+(C149*'5.Closing Stock &amp; W Capital'!$D$15))*$C208*F$172</f>
        <v>  -   </v>
      </c>
      <c r="G208" s="351" t="str">
        <f>((E149*(1-'5.Closing Stock &amp; W Capital'!$D$15))+(D149*'5.Closing Stock &amp; W Capital'!$D$15))*$C208*G$172</f>
        <v>  -   </v>
      </c>
      <c r="H208" s="351" t="str">
        <f>((F149*(1-'5.Closing Stock &amp; W Capital'!$D$15))+(E149*'5.Closing Stock &amp; W Capital'!$D$15))*$C208*H$172</f>
        <v>  -   </v>
      </c>
      <c r="I208" s="351" t="str">
        <f>((G149*(1-'5.Closing Stock &amp; W Capital'!$D$15))+(F149*'5.Closing Stock &amp; W Capital'!$D$15))*$C208*I$172</f>
        <v>  -   </v>
      </c>
      <c r="J208" s="351" t="str">
        <f>((H149*(1-'5.Closing Stock &amp; W Capital'!$D$15))+(G149*'5.Closing Stock &amp; W Capital'!$D$15))*$C208*J$172</f>
        <v>  -   </v>
      </c>
      <c r="K208" s="110"/>
      <c r="L208" s="110"/>
    </row>
    <row r="209" ht="15.75" customHeight="1">
      <c r="A209" s="347" t="str">
        <f t="shared" si="95"/>
        <v/>
      </c>
      <c r="B209" s="85" t="s">
        <v>616</v>
      </c>
      <c r="C209" s="77"/>
      <c r="D209" s="351" t="str">
        <f>(B150*(1-'5.Closing Stock &amp; W Capital'!$D$15))*$C209*D$172</f>
        <v>  -   </v>
      </c>
      <c r="E209" s="351" t="str">
        <f>((C150*(1-'5.Closing Stock &amp; W Capital'!$D$15))+(B150*'5.Closing Stock &amp; W Capital'!$D$15))*$C209*E$172</f>
        <v>  -   </v>
      </c>
      <c r="F209" s="351" t="str">
        <f>((D150*(1-'5.Closing Stock &amp; W Capital'!$D$15))+(C150*'5.Closing Stock &amp; W Capital'!$D$15))*$C209*F$172</f>
        <v>  -   </v>
      </c>
      <c r="G209" s="351" t="str">
        <f>((E150*(1-'5.Closing Stock &amp; W Capital'!$D$15))+(D150*'5.Closing Stock &amp; W Capital'!$D$15))*$C209*G$172</f>
        <v>  -   </v>
      </c>
      <c r="H209" s="351" t="str">
        <f>((F150*(1-'5.Closing Stock &amp; W Capital'!$D$15))+(E150*'5.Closing Stock &amp; W Capital'!$D$15))*$C209*H$172</f>
        <v>  -   </v>
      </c>
      <c r="I209" s="351" t="str">
        <f>((G150*(1-'5.Closing Stock &amp; W Capital'!$D$15))+(F150*'5.Closing Stock &amp; W Capital'!$D$15))*$C209*I$172</f>
        <v>  -   </v>
      </c>
      <c r="J209" s="351" t="str">
        <f>((H150*(1-'5.Closing Stock &amp; W Capital'!$D$15))+(G150*'5.Closing Stock &amp; W Capital'!$D$15))*$C209*J$172</f>
        <v>  -   </v>
      </c>
      <c r="K209" s="110"/>
      <c r="L209" s="110"/>
    </row>
    <row r="210" ht="15.75" customHeight="1">
      <c r="A210" s="347" t="str">
        <f t="shared" si="95"/>
        <v/>
      </c>
      <c r="B210" s="85" t="s">
        <v>616</v>
      </c>
      <c r="C210" s="77"/>
      <c r="D210" s="351" t="str">
        <f>(B151*(1-'5.Closing Stock &amp; W Capital'!$D$15))*$C210*D$172</f>
        <v>  -   </v>
      </c>
      <c r="E210" s="351" t="str">
        <f>((C151*(1-'5.Closing Stock &amp; W Capital'!$D$15))+(B151*'5.Closing Stock &amp; W Capital'!$D$15))*$C210*E$172</f>
        <v>  -   </v>
      </c>
      <c r="F210" s="351" t="str">
        <f>((D151*(1-'5.Closing Stock &amp; W Capital'!$D$15))+(C151*'5.Closing Stock &amp; W Capital'!$D$15))*$C210*F$172</f>
        <v>  -   </v>
      </c>
      <c r="G210" s="351" t="str">
        <f>((E151*(1-'5.Closing Stock &amp; W Capital'!$D$15))+(D151*'5.Closing Stock &amp; W Capital'!$D$15))*$C210*G$172</f>
        <v>  -   </v>
      </c>
      <c r="H210" s="351" t="str">
        <f>((F151*(1-'5.Closing Stock &amp; W Capital'!$D$15))+(E151*'5.Closing Stock &amp; W Capital'!$D$15))*$C210*H$172</f>
        <v>  -   </v>
      </c>
      <c r="I210" s="351" t="str">
        <f>((G151*(1-'5.Closing Stock &amp; W Capital'!$D$15))+(F151*'5.Closing Stock &amp; W Capital'!$D$15))*$C210*I$172</f>
        <v>  -   </v>
      </c>
      <c r="J210" s="351" t="str">
        <f>((H151*(1-'5.Closing Stock &amp; W Capital'!$D$15))+(G151*'5.Closing Stock &amp; W Capital'!$D$15))*$C210*J$172</f>
        <v>  -   </v>
      </c>
      <c r="K210" s="110"/>
      <c r="L210" s="110"/>
    </row>
    <row r="211" ht="15.75" customHeight="1">
      <c r="A211" s="347" t="str">
        <f t="shared" si="95"/>
        <v/>
      </c>
      <c r="B211" s="85" t="s">
        <v>616</v>
      </c>
      <c r="C211" s="77"/>
      <c r="D211" s="351" t="str">
        <f>(B152*(1-'5.Closing Stock &amp; W Capital'!$D$15))*$C211*D$172</f>
        <v>  -   </v>
      </c>
      <c r="E211" s="351" t="str">
        <f>((C152*(1-'5.Closing Stock &amp; W Capital'!$D$15))+(B152*'5.Closing Stock &amp; W Capital'!$D$15))*$C211*E$172</f>
        <v>  -   </v>
      </c>
      <c r="F211" s="351" t="str">
        <f>((D152*(1-'5.Closing Stock &amp; W Capital'!$D$15))+(C152*'5.Closing Stock &amp; W Capital'!$D$15))*$C211*F$172</f>
        <v>  -   </v>
      </c>
      <c r="G211" s="351" t="str">
        <f>((E152*(1-'5.Closing Stock &amp; W Capital'!$D$15))+(D152*'5.Closing Stock &amp; W Capital'!$D$15))*$C211*G$172</f>
        <v>  -   </v>
      </c>
      <c r="H211" s="351" t="str">
        <f>((F152*(1-'5.Closing Stock &amp; W Capital'!$D$15))+(E152*'5.Closing Stock &amp; W Capital'!$D$15))*$C211*H$172</f>
        <v>  -   </v>
      </c>
      <c r="I211" s="351" t="str">
        <f>((G152*(1-'5.Closing Stock &amp; W Capital'!$D$15))+(F152*'5.Closing Stock &amp; W Capital'!$D$15))*$C211*I$172</f>
        <v>  -   </v>
      </c>
      <c r="J211" s="351" t="str">
        <f>((H152*(1-'5.Closing Stock &amp; W Capital'!$D$15))+(G152*'5.Closing Stock &amp; W Capital'!$D$15))*$C211*J$172</f>
        <v>  -   </v>
      </c>
      <c r="K211" s="110"/>
      <c r="L211" s="110"/>
    </row>
    <row r="212" ht="15.75" customHeight="1">
      <c r="A212" s="347" t="str">
        <f t="shared" si="95"/>
        <v> Onion</v>
      </c>
      <c r="B212" s="85" t="s">
        <v>616</v>
      </c>
      <c r="C212" s="355">
        <v>0.0</v>
      </c>
      <c r="D212" s="351" t="str">
        <f>(B153*(1-'5.Closing Stock &amp; W Capital'!$D$15))*$C212*D$172</f>
        <v>  -   </v>
      </c>
      <c r="E212" s="351" t="str">
        <f>((C153*(1-'5.Closing Stock &amp; W Capital'!$D$15))+(B153*'5.Closing Stock &amp; W Capital'!$D$15))*$C212*E$172</f>
        <v>  -   </v>
      </c>
      <c r="F212" s="351" t="str">
        <f>((D153*(1-'5.Closing Stock &amp; W Capital'!$D$15))+(C153*'5.Closing Stock &amp; W Capital'!$D$15))*$C212*F$172</f>
        <v>  -   </v>
      </c>
      <c r="G212" s="351" t="str">
        <f>((E153*(1-'5.Closing Stock &amp; W Capital'!$D$15))+(D153*'5.Closing Stock &amp; W Capital'!$D$15))*$C212*G$172</f>
        <v>  -   </v>
      </c>
      <c r="H212" s="351" t="str">
        <f>((F153*(1-'5.Closing Stock &amp; W Capital'!$D$15))+(E153*'5.Closing Stock &amp; W Capital'!$D$15))*$C212*H$172</f>
        <v>  -   </v>
      </c>
      <c r="I212" s="351" t="str">
        <f>((G153*(1-'5.Closing Stock &amp; W Capital'!$D$15))+(F153*'5.Closing Stock &amp; W Capital'!$D$15))*$C212*I$172</f>
        <v>  -   </v>
      </c>
      <c r="J212" s="351" t="str">
        <f>((H153*(1-'5.Closing Stock &amp; W Capital'!$D$15))+(G153*'5.Closing Stock &amp; W Capital'!$D$15))*$C212*J$172</f>
        <v>  -   </v>
      </c>
      <c r="K212" s="110"/>
      <c r="L212" s="110"/>
    </row>
    <row r="213" ht="15.75" customHeight="1">
      <c r="A213" s="347" t="str">
        <f t="shared" si="95"/>
        <v> Tomato</v>
      </c>
      <c r="B213" s="85" t="s">
        <v>616</v>
      </c>
      <c r="C213" s="355">
        <v>0.0</v>
      </c>
      <c r="D213" s="351" t="str">
        <f>(B154*(1-'5.Closing Stock &amp; W Capital'!$D$15))*$C213*D$172</f>
        <v>  -   </v>
      </c>
      <c r="E213" s="351" t="str">
        <f>((C154*(1-'5.Closing Stock &amp; W Capital'!$D$15))+(B154*'5.Closing Stock &amp; W Capital'!$D$15))*$C213*E$172</f>
        <v>  -   </v>
      </c>
      <c r="F213" s="351" t="str">
        <f>((D154*(1-'5.Closing Stock &amp; W Capital'!$D$15))+(C154*'5.Closing Stock &amp; W Capital'!$D$15))*$C213*F$172</f>
        <v>  -   </v>
      </c>
      <c r="G213" s="351" t="str">
        <f>((E154*(1-'5.Closing Stock &amp; W Capital'!$D$15))+(D154*'5.Closing Stock &amp; W Capital'!$D$15))*$C213*G$172</f>
        <v>  -   </v>
      </c>
      <c r="H213" s="351" t="str">
        <f>((F154*(1-'5.Closing Stock &amp; W Capital'!$D$15))+(E154*'5.Closing Stock &amp; W Capital'!$D$15))*$C213*H$172</f>
        <v>  -   </v>
      </c>
      <c r="I213" s="351" t="str">
        <f>((G154*(1-'5.Closing Stock &amp; W Capital'!$D$15))+(F154*'5.Closing Stock &amp; W Capital'!$D$15))*$C213*I$172</f>
        <v>  -   </v>
      </c>
      <c r="J213" s="351" t="str">
        <f>((H154*(1-'5.Closing Stock &amp; W Capital'!$D$15))+(G154*'5.Closing Stock &amp; W Capital'!$D$15))*$C213*J$172</f>
        <v>  -   </v>
      </c>
      <c r="K213" s="110"/>
      <c r="L213" s="110"/>
    </row>
    <row r="214" ht="15.75" customHeight="1">
      <c r="A214" s="347" t="str">
        <f t="shared" si="95"/>
        <v> Okra</v>
      </c>
      <c r="B214" s="85" t="s">
        <v>616</v>
      </c>
      <c r="C214" s="355">
        <v>0.0</v>
      </c>
      <c r="D214" s="351" t="str">
        <f>(B155*(1-'5.Closing Stock &amp; W Capital'!$D$15))*$C214*D$172</f>
        <v>  -   </v>
      </c>
      <c r="E214" s="351" t="str">
        <f>((C155*(1-'5.Closing Stock &amp; W Capital'!$D$15))+(B155*'5.Closing Stock &amp; W Capital'!$D$15))*$C214*E$172</f>
        <v>  -   </v>
      </c>
      <c r="F214" s="351" t="str">
        <f>((D155*(1-'5.Closing Stock &amp; W Capital'!$D$15))+(C155*'5.Closing Stock &amp; W Capital'!$D$15))*$C214*F$172</f>
        <v>  -   </v>
      </c>
      <c r="G214" s="351" t="str">
        <f>((E155*(1-'5.Closing Stock &amp; W Capital'!$D$15))+(D155*'5.Closing Stock &amp; W Capital'!$D$15))*$C214*G$172</f>
        <v>  -   </v>
      </c>
      <c r="H214" s="351" t="str">
        <f>((F155*(1-'5.Closing Stock &amp; W Capital'!$D$15))+(E155*'5.Closing Stock &amp; W Capital'!$D$15))*$C214*H$172</f>
        <v>  -   </v>
      </c>
      <c r="I214" s="351" t="str">
        <f>((G155*(1-'5.Closing Stock &amp; W Capital'!$D$15))+(F155*'5.Closing Stock &amp; W Capital'!$D$15))*$C214*I$172</f>
        <v>  -   </v>
      </c>
      <c r="J214" s="351" t="str">
        <f>((H155*(1-'5.Closing Stock &amp; W Capital'!$D$15))+(G155*'5.Closing Stock &amp; W Capital'!$D$15))*$C214*J$172</f>
        <v>  -   </v>
      </c>
      <c r="K214" s="110"/>
      <c r="L214" s="110"/>
    </row>
    <row r="215" ht="15.75" customHeight="1">
      <c r="A215" s="347" t="str">
        <f t="shared" si="95"/>
        <v> Chilli</v>
      </c>
      <c r="B215" s="85" t="s">
        <v>616</v>
      </c>
      <c r="C215" s="355">
        <v>0.0</v>
      </c>
      <c r="D215" s="351" t="str">
        <f>(B156*(1-'5.Closing Stock &amp; W Capital'!$D$15))*$C215*D$172</f>
        <v>  -   </v>
      </c>
      <c r="E215" s="351" t="str">
        <f>((C156*(1-'5.Closing Stock &amp; W Capital'!$D$15))+(B156*'5.Closing Stock &amp; W Capital'!$D$15))*$C215*E$172</f>
        <v>  -   </v>
      </c>
      <c r="F215" s="351" t="str">
        <f>((D156*(1-'5.Closing Stock &amp; W Capital'!$D$15))+(C156*'5.Closing Stock &amp; W Capital'!$D$15))*$C215*F$172</f>
        <v>  -   </v>
      </c>
      <c r="G215" s="351" t="str">
        <f>((E156*(1-'5.Closing Stock &amp; W Capital'!$D$15))+(D156*'5.Closing Stock &amp; W Capital'!$D$15))*$C215*G$172</f>
        <v>  -   </v>
      </c>
      <c r="H215" s="351" t="str">
        <f>((F156*(1-'5.Closing Stock &amp; W Capital'!$D$15))+(E156*'5.Closing Stock &amp; W Capital'!$D$15))*$C215*H$172</f>
        <v>  -   </v>
      </c>
      <c r="I215" s="351" t="str">
        <f>((G156*(1-'5.Closing Stock &amp; W Capital'!$D$15))+(F156*'5.Closing Stock &amp; W Capital'!$D$15))*$C215*I$172</f>
        <v>  -   </v>
      </c>
      <c r="J215" s="351" t="str">
        <f>((H156*(1-'5.Closing Stock &amp; W Capital'!$D$15))+(G156*'5.Closing Stock &amp; W Capital'!$D$15))*$C215*J$172</f>
        <v>  -   </v>
      </c>
      <c r="K215" s="110"/>
      <c r="L215" s="110"/>
    </row>
    <row r="216" ht="15.75" customHeight="1">
      <c r="A216" s="347" t="str">
        <f t="shared" si="95"/>
        <v> Brinjal</v>
      </c>
      <c r="B216" s="85" t="s">
        <v>616</v>
      </c>
      <c r="C216" s="355">
        <v>0.0</v>
      </c>
      <c r="D216" s="351" t="str">
        <f>(B157*(1-'5.Closing Stock &amp; W Capital'!$D$15))*$C216*D$172</f>
        <v>  -   </v>
      </c>
      <c r="E216" s="351" t="str">
        <f>((C157*(1-'5.Closing Stock &amp; W Capital'!$D$15))+(B157*'5.Closing Stock &amp; W Capital'!$D$15))*$C216*E$172</f>
        <v>  -   </v>
      </c>
      <c r="F216" s="351" t="str">
        <f>((D157*(1-'5.Closing Stock &amp; W Capital'!$D$15))+(C157*'5.Closing Stock &amp; W Capital'!$D$15))*$C216*F$172</f>
        <v>  -   </v>
      </c>
      <c r="G216" s="351" t="str">
        <f>((E157*(1-'5.Closing Stock &amp; W Capital'!$D$15))+(D157*'5.Closing Stock &amp; W Capital'!$D$15))*$C216*G$172</f>
        <v>  -   </v>
      </c>
      <c r="H216" s="351" t="str">
        <f>((F157*(1-'5.Closing Stock &amp; W Capital'!$D$15))+(E157*'5.Closing Stock &amp; W Capital'!$D$15))*$C216*H$172</f>
        <v>  -   </v>
      </c>
      <c r="I216" s="351" t="str">
        <f>((G157*(1-'5.Closing Stock &amp; W Capital'!$D$15))+(F157*'5.Closing Stock &amp; W Capital'!$D$15))*$C216*I$172</f>
        <v>  -   </v>
      </c>
      <c r="J216" s="351" t="str">
        <f>((H157*(1-'5.Closing Stock &amp; W Capital'!$D$15))+(G157*'5.Closing Stock &amp; W Capital'!$D$15))*$C216*J$172</f>
        <v>  -   </v>
      </c>
      <c r="K216" s="110"/>
      <c r="L216" s="110"/>
    </row>
    <row r="217" ht="15.75" customHeight="1">
      <c r="A217" s="347" t="str">
        <f t="shared" si="95"/>
        <v/>
      </c>
      <c r="B217" s="85" t="s">
        <v>616</v>
      </c>
      <c r="C217" s="355">
        <v>0.0</v>
      </c>
      <c r="D217" s="351" t="str">
        <f>(B158*(1-'5.Closing Stock &amp; W Capital'!$D$15))*$C217*D$172</f>
        <v>  -   </v>
      </c>
      <c r="E217" s="351" t="str">
        <f>((C158*(1-'5.Closing Stock &amp; W Capital'!$D$15))+(B158*'5.Closing Stock &amp; W Capital'!$D$15))*$C217*E$172</f>
        <v>  -   </v>
      </c>
      <c r="F217" s="351" t="str">
        <f>((D158*(1-'5.Closing Stock &amp; W Capital'!$D$15))+(C158*'5.Closing Stock &amp; W Capital'!$D$15))*$C217*F$172</f>
        <v>  -   </v>
      </c>
      <c r="G217" s="351" t="str">
        <f>((E158*(1-'5.Closing Stock &amp; W Capital'!$D$15))+(D158*'5.Closing Stock &amp; W Capital'!$D$15))*$C217*G$172</f>
        <v>  -   </v>
      </c>
      <c r="H217" s="351" t="str">
        <f>((F158*(1-'5.Closing Stock &amp; W Capital'!$D$15))+(E158*'5.Closing Stock &amp; W Capital'!$D$15))*$C217*H$172</f>
        <v>  -   </v>
      </c>
      <c r="I217" s="351" t="str">
        <f>((G158*(1-'5.Closing Stock &amp; W Capital'!$D$15))+(F158*'5.Closing Stock &amp; W Capital'!$D$15))*$C217*I$172</f>
        <v>  -   </v>
      </c>
      <c r="J217" s="351" t="str">
        <f>((H158*(1-'5.Closing Stock &amp; W Capital'!$D$15))+(G158*'5.Closing Stock &amp; W Capital'!$D$15))*$C217*J$172</f>
        <v>  -   </v>
      </c>
      <c r="K217" s="110"/>
      <c r="L217" s="110"/>
    </row>
    <row r="218" ht="15.75" customHeight="1">
      <c r="A218" s="347" t="str">
        <f t="shared" si="95"/>
        <v/>
      </c>
      <c r="B218" s="85" t="s">
        <v>616</v>
      </c>
      <c r="C218" s="355"/>
      <c r="D218" s="351" t="str">
        <f>(B159*(1-'5.Closing Stock &amp; W Capital'!$D$15))*$C218*D$172</f>
        <v>  -   </v>
      </c>
      <c r="E218" s="351" t="str">
        <f>((C159*(1-'5.Closing Stock &amp; W Capital'!$D$15))+(B159*'5.Closing Stock &amp; W Capital'!$D$15))*$C218*E$172</f>
        <v>  -   </v>
      </c>
      <c r="F218" s="351" t="str">
        <f>((D159*(1-'5.Closing Stock &amp; W Capital'!$D$15))+(C159*'5.Closing Stock &amp; W Capital'!$D$15))*$C218*F$172</f>
        <v>  -   </v>
      </c>
      <c r="G218" s="351" t="str">
        <f>((E159*(1-'5.Closing Stock &amp; W Capital'!$D$15))+(D159*'5.Closing Stock &amp; W Capital'!$D$15))*$C218*G$172</f>
        <v>  -   </v>
      </c>
      <c r="H218" s="351" t="str">
        <f>((F159*(1-'5.Closing Stock &amp; W Capital'!$D$15))+(E159*'5.Closing Stock &amp; W Capital'!$D$15))*$C218*H$172</f>
        <v>  -   </v>
      </c>
      <c r="I218" s="351" t="str">
        <f>((G159*(1-'5.Closing Stock &amp; W Capital'!$D$15))+(F159*'5.Closing Stock &amp; W Capital'!$D$15))*$C218*I$172</f>
        <v>  -   </v>
      </c>
      <c r="J218" s="351" t="str">
        <f>((H159*(1-'5.Closing Stock &amp; W Capital'!$D$15))+(G159*'5.Closing Stock &amp; W Capital'!$D$15))*$C218*J$172</f>
        <v>  -   </v>
      </c>
      <c r="K218" s="110"/>
      <c r="L218" s="110"/>
    </row>
    <row r="219" ht="15.75" customHeight="1">
      <c r="A219" s="347" t="str">
        <f t="shared" si="95"/>
        <v/>
      </c>
      <c r="B219" s="85" t="s">
        <v>616</v>
      </c>
      <c r="C219" s="355"/>
      <c r="D219" s="351" t="str">
        <f>(B160*(1-'5.Closing Stock &amp; W Capital'!$D$15))*$C219*D$172</f>
        <v>  -   </v>
      </c>
      <c r="E219" s="351" t="str">
        <f>((C160*(1-'5.Closing Stock &amp; W Capital'!$D$15))+(B160*'5.Closing Stock &amp; W Capital'!$D$15))*$C219*E$172</f>
        <v>  -   </v>
      </c>
      <c r="F219" s="351" t="str">
        <f>((D160*(1-'5.Closing Stock &amp; W Capital'!$D$15))+(C160*'5.Closing Stock &amp; W Capital'!$D$15))*$C219*F$172</f>
        <v>  -   </v>
      </c>
      <c r="G219" s="351" t="str">
        <f>((E160*(1-'5.Closing Stock &amp; W Capital'!$D$15))+(D160*'5.Closing Stock &amp; W Capital'!$D$15))*$C219*G$172</f>
        <v>  -   </v>
      </c>
      <c r="H219" s="351" t="str">
        <f>((F160*(1-'5.Closing Stock &amp; W Capital'!$D$15))+(E160*'5.Closing Stock &amp; W Capital'!$D$15))*$C219*H$172</f>
        <v>  -   </v>
      </c>
      <c r="I219" s="351" t="str">
        <f>((G160*(1-'5.Closing Stock &amp; W Capital'!$D$15))+(F160*'5.Closing Stock &amp; W Capital'!$D$15))*$C219*I$172</f>
        <v>  -   </v>
      </c>
      <c r="J219" s="351" t="str">
        <f>((H160*(1-'5.Closing Stock &amp; W Capital'!$D$15))+(G160*'5.Closing Stock &amp; W Capital'!$D$15))*$C219*J$172</f>
        <v>  -   </v>
      </c>
      <c r="K219" s="110"/>
      <c r="L219" s="110"/>
    </row>
    <row r="220" ht="15.75" customHeight="1">
      <c r="A220" s="347" t="str">
        <f t="shared" si="95"/>
        <v/>
      </c>
      <c r="B220" s="85" t="s">
        <v>616</v>
      </c>
      <c r="C220" s="355"/>
      <c r="D220" s="351" t="str">
        <f>(B161*(1-'5.Closing Stock &amp; W Capital'!$D$15))*$C220*D$172</f>
        <v>  -   </v>
      </c>
      <c r="E220" s="351" t="str">
        <f>((C161*(1-'5.Closing Stock &amp; W Capital'!$D$15))+(B161*'5.Closing Stock &amp; W Capital'!$D$15))*$C220*E$172</f>
        <v>  -   </v>
      </c>
      <c r="F220" s="351" t="str">
        <f>((D161*(1-'5.Closing Stock &amp; W Capital'!$D$15))+(C161*'5.Closing Stock &amp; W Capital'!$D$15))*$C220*F$172</f>
        <v>  -   </v>
      </c>
      <c r="G220" s="351" t="str">
        <f>((E161*(1-'5.Closing Stock &amp; W Capital'!$D$15))+(D161*'5.Closing Stock &amp; W Capital'!$D$15))*$C220*G$172</f>
        <v>  -   </v>
      </c>
      <c r="H220" s="351" t="str">
        <f>((F161*(1-'5.Closing Stock &amp; W Capital'!$D$15))+(E161*'5.Closing Stock &amp; W Capital'!$D$15))*$C220*H$172</f>
        <v>  -   </v>
      </c>
      <c r="I220" s="351" t="str">
        <f>((G161*(1-'5.Closing Stock &amp; W Capital'!$D$15))+(F161*'5.Closing Stock &amp; W Capital'!$D$15))*$C220*I$172</f>
        <v>  -   </v>
      </c>
      <c r="J220" s="351" t="str">
        <f>((H161*(1-'5.Closing Stock &amp; W Capital'!$D$15))+(G161*'5.Closing Stock &amp; W Capital'!$D$15))*$C220*J$172</f>
        <v>  -   </v>
      </c>
      <c r="K220" s="110"/>
      <c r="L220" s="110"/>
    </row>
    <row r="221" ht="15.75" customHeight="1">
      <c r="A221" s="347" t="str">
        <f t="shared" si="95"/>
        <v/>
      </c>
      <c r="B221" s="85" t="s">
        <v>616</v>
      </c>
      <c r="C221" s="355"/>
      <c r="D221" s="351" t="str">
        <f>(B162*(1-'5.Closing Stock &amp; W Capital'!$D$15))*$C221*D$172</f>
        <v>  -   </v>
      </c>
      <c r="E221" s="351" t="str">
        <f>((C162*(1-'5.Closing Stock &amp; W Capital'!$D$15))+(B162*'5.Closing Stock &amp; W Capital'!$D$15))*$C221*E$172</f>
        <v>  -   </v>
      </c>
      <c r="F221" s="351" t="str">
        <f>((D162*(1-'5.Closing Stock &amp; W Capital'!$D$15))+(C162*'5.Closing Stock &amp; W Capital'!$D$15))*$C221*F$172</f>
        <v>  -   </v>
      </c>
      <c r="G221" s="351" t="str">
        <f>((E162*(1-'5.Closing Stock &amp; W Capital'!$D$15))+(D162*'5.Closing Stock &amp; W Capital'!$D$15))*$C221*G$172</f>
        <v>  -   </v>
      </c>
      <c r="H221" s="351" t="str">
        <f>((F162*(1-'5.Closing Stock &amp; W Capital'!$D$15))+(E162*'5.Closing Stock &amp; W Capital'!$D$15))*$C221*H$172</f>
        <v>  -   </v>
      </c>
      <c r="I221" s="351" t="str">
        <f>((G162*(1-'5.Closing Stock &amp; W Capital'!$D$15))+(F162*'5.Closing Stock &amp; W Capital'!$D$15))*$C221*I$172</f>
        <v>  -   </v>
      </c>
      <c r="J221" s="351" t="str">
        <f>((H162*(1-'5.Closing Stock &amp; W Capital'!$D$15))+(G162*'5.Closing Stock &amp; W Capital'!$D$15))*$C221*J$172</f>
        <v>  -   </v>
      </c>
      <c r="K221" s="110"/>
      <c r="L221" s="110"/>
    </row>
    <row r="222" ht="15.75" customHeight="1">
      <c r="A222" s="347" t="str">
        <f t="shared" si="95"/>
        <v/>
      </c>
      <c r="B222" s="85" t="s">
        <v>616</v>
      </c>
      <c r="C222" s="355"/>
      <c r="D222" s="351" t="str">
        <f>(B163*(1-'5.Closing Stock &amp; W Capital'!$D$15))*$C222*D$172</f>
        <v>  -   </v>
      </c>
      <c r="E222" s="351" t="str">
        <f>((C163*(1-'5.Closing Stock &amp; W Capital'!$D$15))+(B163*'5.Closing Stock &amp; W Capital'!$D$15))*$C222*E$172</f>
        <v>  -   </v>
      </c>
      <c r="F222" s="351" t="str">
        <f>((D163*(1-'5.Closing Stock &amp; W Capital'!$D$15))+(C163*'5.Closing Stock &amp; W Capital'!$D$15))*$C222*F$172</f>
        <v>  -   </v>
      </c>
      <c r="G222" s="351" t="str">
        <f>((E163*(1-'5.Closing Stock &amp; W Capital'!$D$15))+(D163*'5.Closing Stock &amp; W Capital'!$D$15))*$C222*G$172</f>
        <v>  -   </v>
      </c>
      <c r="H222" s="351" t="str">
        <f>((F163*(1-'5.Closing Stock &amp; W Capital'!$D$15))+(E163*'5.Closing Stock &amp; W Capital'!$D$15))*$C222*H$172</f>
        <v>  -   </v>
      </c>
      <c r="I222" s="351" t="str">
        <f>((G163*(1-'5.Closing Stock &amp; W Capital'!$D$15))+(F163*'5.Closing Stock &amp; W Capital'!$D$15))*$C222*I$172</f>
        <v>  -   </v>
      </c>
      <c r="J222" s="351" t="str">
        <f>((H163*(1-'5.Closing Stock &amp; W Capital'!$D$15))+(G163*'5.Closing Stock &amp; W Capital'!$D$15))*$C222*J$172</f>
        <v>  -   </v>
      </c>
      <c r="K222" s="110"/>
      <c r="L222" s="110"/>
    </row>
    <row r="223" ht="15.75" customHeight="1">
      <c r="A223" s="347" t="str">
        <f t="shared" si="95"/>
        <v/>
      </c>
      <c r="B223" s="85" t="s">
        <v>616</v>
      </c>
      <c r="C223" s="355"/>
      <c r="D223" s="351" t="str">
        <f>(B164*(1-'5.Closing Stock &amp; W Capital'!$D$15))*$C223*D$172</f>
        <v>  -   </v>
      </c>
      <c r="E223" s="351" t="str">
        <f>((C164*(1-'5.Closing Stock &amp; W Capital'!$D$15))+(B164*'5.Closing Stock &amp; W Capital'!$D$15))*$C223*E$172</f>
        <v>  -   </v>
      </c>
      <c r="F223" s="351" t="str">
        <f>((D164*(1-'5.Closing Stock &amp; W Capital'!$D$15))+(C164*'5.Closing Stock &amp; W Capital'!$D$15))*$C223*F$172</f>
        <v>  -   </v>
      </c>
      <c r="G223" s="351" t="str">
        <f>((E164*(1-'5.Closing Stock &amp; W Capital'!$D$15))+(D164*'5.Closing Stock &amp; W Capital'!$D$15))*$C223*G$172</f>
        <v>  -   </v>
      </c>
      <c r="H223" s="351" t="str">
        <f>((F164*(1-'5.Closing Stock &amp; W Capital'!$D$15))+(E164*'5.Closing Stock &amp; W Capital'!$D$15))*$C223*H$172</f>
        <v>  -   </v>
      </c>
      <c r="I223" s="351" t="str">
        <f>((G164*(1-'5.Closing Stock &amp; W Capital'!$D$15))+(F164*'5.Closing Stock &amp; W Capital'!$D$15))*$C223*I$172</f>
        <v>  -   </v>
      </c>
      <c r="J223" s="351" t="str">
        <f>((H164*(1-'5.Closing Stock &amp; W Capital'!$D$15))+(G164*'5.Closing Stock &amp; W Capital'!$D$15))*$C223*J$172</f>
        <v>  -   </v>
      </c>
      <c r="K223" s="110"/>
      <c r="L223" s="110"/>
    </row>
    <row r="224" ht="15.75" customHeight="1">
      <c r="A224" s="347" t="str">
        <f t="shared" si="95"/>
        <v> Pomegranate</v>
      </c>
      <c r="B224" s="85" t="s">
        <v>616</v>
      </c>
      <c r="C224" s="355"/>
      <c r="D224" s="351" t="str">
        <f>(B165*(1-'5.Closing Stock &amp; W Capital'!$D$15))*$C224*D$172</f>
        <v>  -   </v>
      </c>
      <c r="E224" s="351" t="str">
        <f>((C165*(1-'5.Closing Stock &amp; W Capital'!$D$15))+(B165*'5.Closing Stock &amp; W Capital'!$D$15))*$C224*E$172</f>
        <v>  -   </v>
      </c>
      <c r="F224" s="351" t="str">
        <f>((D165*(1-'5.Closing Stock &amp; W Capital'!$D$15))+(C165*'5.Closing Stock &amp; W Capital'!$D$15))*$C224*F$172</f>
        <v>  -   </v>
      </c>
      <c r="G224" s="351" t="str">
        <f>((E165*(1-'5.Closing Stock &amp; W Capital'!$D$15))+(D165*'5.Closing Stock &amp; W Capital'!$D$15))*$C224*G$172</f>
        <v>  -   </v>
      </c>
      <c r="H224" s="351" t="str">
        <f>((F165*(1-'5.Closing Stock &amp; W Capital'!$D$15))+(E165*'5.Closing Stock &amp; W Capital'!$D$15))*$C224*H$172</f>
        <v>  -   </v>
      </c>
      <c r="I224" s="351" t="str">
        <f>((G165*(1-'5.Closing Stock &amp; W Capital'!$D$15))+(F165*'5.Closing Stock &amp; W Capital'!$D$15))*$C224*I$172</f>
        <v>  -   </v>
      </c>
      <c r="J224" s="351" t="str">
        <f>((H165*(1-'5.Closing Stock &amp; W Capital'!$D$15))+(G165*'5.Closing Stock &amp; W Capital'!$D$15))*$C224*J$172</f>
        <v>  -   </v>
      </c>
      <c r="K224" s="110"/>
      <c r="L224" s="110"/>
    </row>
    <row r="225" ht="15.75" customHeight="1">
      <c r="A225" s="347" t="str">
        <f t="shared" si="95"/>
        <v> Custard Apple</v>
      </c>
      <c r="B225" s="85" t="s">
        <v>616</v>
      </c>
      <c r="C225" s="355"/>
      <c r="D225" s="351" t="str">
        <f>(B166*(1-'5.Closing Stock &amp; W Capital'!$D$15))*$C225*D$172</f>
        <v>  -   </v>
      </c>
      <c r="E225" s="351" t="str">
        <f>((C166*(1-'5.Closing Stock &amp; W Capital'!$D$15))+(B166*'5.Closing Stock &amp; W Capital'!$D$15))*$C225*E$172</f>
        <v>  -   </v>
      </c>
      <c r="F225" s="351" t="str">
        <f>((D166*(1-'5.Closing Stock &amp; W Capital'!$D$15))+(C166*'5.Closing Stock &amp; W Capital'!$D$15))*$C225*F$172</f>
        <v>  -   </v>
      </c>
      <c r="G225" s="351" t="str">
        <f>((E166*(1-'5.Closing Stock &amp; W Capital'!$D$15))+(D166*'5.Closing Stock &amp; W Capital'!$D$15))*$C225*G$172</f>
        <v>  -   </v>
      </c>
      <c r="H225" s="351" t="str">
        <f>((F166*(1-'5.Closing Stock &amp; W Capital'!$D$15))+(E166*'5.Closing Stock &amp; W Capital'!$D$15))*$C225*H$172</f>
        <v>  -   </v>
      </c>
      <c r="I225" s="351" t="str">
        <f>((G166*(1-'5.Closing Stock &amp; W Capital'!$D$15))+(F166*'5.Closing Stock &amp; W Capital'!$D$15))*$C225*I$172</f>
        <v>  -   </v>
      </c>
      <c r="J225" s="351" t="str">
        <f>((H166*(1-'5.Closing Stock &amp; W Capital'!$D$15))+(G166*'5.Closing Stock &amp; W Capital'!$D$15))*$C225*J$172</f>
        <v>  -   </v>
      </c>
      <c r="K225" s="110"/>
      <c r="L225" s="110"/>
    </row>
    <row r="226" ht="15.75" customHeight="1">
      <c r="A226" s="347" t="str">
        <f t="shared" si="95"/>
        <v> Guava</v>
      </c>
      <c r="B226" s="85" t="s">
        <v>616</v>
      </c>
      <c r="C226" s="355"/>
      <c r="D226" s="351" t="str">
        <f>(B167*(1-'5.Closing Stock &amp; W Capital'!$D$15))*$C226*D$172</f>
        <v>  -   </v>
      </c>
      <c r="E226" s="351" t="str">
        <f>((C167*(1-'5.Closing Stock &amp; W Capital'!$D$15))+(B167*'5.Closing Stock &amp; W Capital'!$D$15))*$C226*E$172</f>
        <v>  -   </v>
      </c>
      <c r="F226" s="351" t="str">
        <f>((D167*(1-'5.Closing Stock &amp; W Capital'!$D$15))+(C167*'5.Closing Stock &amp; W Capital'!$D$15))*$C226*F$172</f>
        <v>  -   </v>
      </c>
      <c r="G226" s="351" t="str">
        <f>((E167*(1-'5.Closing Stock &amp; W Capital'!$D$15))+(D167*'5.Closing Stock &amp; W Capital'!$D$15))*$C226*G$172</f>
        <v>  -   </v>
      </c>
      <c r="H226" s="351" t="str">
        <f>((F167*(1-'5.Closing Stock &amp; W Capital'!$D$15))+(E167*'5.Closing Stock &amp; W Capital'!$D$15))*$C226*H$172</f>
        <v>  -   </v>
      </c>
      <c r="I226" s="351" t="str">
        <f>((G167*(1-'5.Closing Stock &amp; W Capital'!$D$15))+(F167*'5.Closing Stock &amp; W Capital'!$D$15))*$C226*I$172</f>
        <v>  -   </v>
      </c>
      <c r="J226" s="351" t="str">
        <f>((H167*(1-'5.Closing Stock &amp; W Capital'!$D$15))+(G167*'5.Closing Stock &amp; W Capital'!$D$15))*$C226*J$172</f>
        <v>  -   </v>
      </c>
      <c r="K226" s="110"/>
      <c r="L226" s="110"/>
    </row>
    <row r="227" ht="15.75" customHeight="1">
      <c r="A227" s="347" t="str">
        <f t="shared" si="95"/>
        <v> Citrus</v>
      </c>
      <c r="B227" s="85" t="s">
        <v>616</v>
      </c>
      <c r="C227" s="355"/>
      <c r="D227" s="351" t="str">
        <f>(B168*(1-'5.Closing Stock &amp; W Capital'!$D$15))*$C227*D$172</f>
        <v>  -   </v>
      </c>
      <c r="E227" s="351" t="str">
        <f>((C168*(1-'5.Closing Stock &amp; W Capital'!$D$15))+(B168*'5.Closing Stock &amp; W Capital'!$D$15))*$C227*E$172</f>
        <v>  -   </v>
      </c>
      <c r="F227" s="351" t="str">
        <f>((D168*(1-'5.Closing Stock &amp; W Capital'!$D$15))+(C168*'5.Closing Stock &amp; W Capital'!$D$15))*$C227*F$172</f>
        <v>  -   </v>
      </c>
      <c r="G227" s="351" t="str">
        <f>((E168*(1-'5.Closing Stock &amp; W Capital'!$D$15))+(D168*'5.Closing Stock &amp; W Capital'!$D$15))*$C227*G$172</f>
        <v>  -   </v>
      </c>
      <c r="H227" s="351" t="str">
        <f>((F168*(1-'5.Closing Stock &amp; W Capital'!$D$15))+(E168*'5.Closing Stock &amp; W Capital'!$D$15))*$C227*H$172</f>
        <v>  -   </v>
      </c>
      <c r="I227" s="351" t="str">
        <f>((G168*(1-'5.Closing Stock &amp; W Capital'!$D$15))+(F168*'5.Closing Stock &amp; W Capital'!$D$15))*$C227*I$172</f>
        <v>  -   </v>
      </c>
      <c r="J227" s="351" t="str">
        <f>((H168*(1-'5.Closing Stock &amp; W Capital'!$D$15))+(G168*'5.Closing Stock &amp; W Capital'!$D$15))*$C227*J$172</f>
        <v>  -   </v>
      </c>
      <c r="K227" s="110"/>
      <c r="L227" s="110"/>
    </row>
    <row r="228" ht="15.75" customHeight="1">
      <c r="A228" s="117"/>
      <c r="B228" s="117"/>
      <c r="C228" s="117"/>
      <c r="D228" s="85"/>
      <c r="E228" s="85"/>
      <c r="F228" s="85"/>
      <c r="G228" s="85"/>
      <c r="H228" s="85"/>
      <c r="I228" s="85"/>
      <c r="J228" s="85"/>
      <c r="K228" s="110"/>
      <c r="L228" s="110"/>
    </row>
    <row r="229" ht="15.75" customHeight="1">
      <c r="A229" s="117" t="s">
        <v>384</v>
      </c>
      <c r="B229" s="117"/>
      <c r="C229" s="117"/>
      <c r="D229" s="347" t="str">
        <f t="shared" ref="D229:J229" si="96">SUM(D178:D228)</f>
        <v>  67,496,439 </v>
      </c>
      <c r="E229" s="347" t="str">
        <f t="shared" si="96"/>
        <v>  129,631,065 </v>
      </c>
      <c r="F229" s="347" t="str">
        <f t="shared" si="96"/>
        <v>  156,730,976 </v>
      </c>
      <c r="G229" s="347" t="str">
        <f t="shared" si="96"/>
        <v>  186,216,801 </v>
      </c>
      <c r="H229" s="347" t="str">
        <f t="shared" si="96"/>
        <v>  218,259,381 </v>
      </c>
      <c r="I229" s="347" t="str">
        <f t="shared" si="96"/>
        <v>  253,040,676 </v>
      </c>
      <c r="J229" s="347" t="str">
        <f t="shared" si="96"/>
        <v>  290,754,453 </v>
      </c>
      <c r="K229" s="110"/>
      <c r="L229" s="110"/>
    </row>
    <row r="230" ht="15.75" customHeight="1">
      <c r="A230" s="85"/>
      <c r="B230" s="85"/>
      <c r="C230" s="85"/>
      <c r="D230" s="85"/>
      <c r="E230" s="85"/>
      <c r="F230" s="85"/>
      <c r="G230" s="85"/>
      <c r="H230" s="85"/>
      <c r="I230" s="85"/>
      <c r="J230" s="85"/>
      <c r="K230" s="110"/>
      <c r="L230" s="110"/>
    </row>
    <row r="231" ht="15.75" customHeight="1">
      <c r="A231" s="117" t="s">
        <v>618</v>
      </c>
      <c r="B231" s="117"/>
      <c r="C231" s="117"/>
      <c r="D231" s="85"/>
      <c r="E231" s="85"/>
      <c r="F231" s="85"/>
      <c r="G231" s="85"/>
      <c r="H231" s="85"/>
      <c r="I231" s="85"/>
      <c r="J231" s="85"/>
      <c r="K231" s="110"/>
      <c r="L231" s="110"/>
    </row>
    <row r="232" ht="15.75" customHeight="1">
      <c r="A232" s="117" t="s">
        <v>385</v>
      </c>
      <c r="B232" s="117"/>
      <c r="C232" s="85"/>
      <c r="D232" s="85"/>
      <c r="E232" s="85"/>
      <c r="F232" s="85"/>
      <c r="G232" s="85"/>
      <c r="H232" s="85"/>
      <c r="I232" s="85"/>
      <c r="J232" s="85"/>
      <c r="K232" s="110"/>
      <c r="L232" s="110"/>
    </row>
    <row r="233" ht="15.75" customHeight="1">
      <c r="A233" s="351" t="str">
        <f t="shared" ref="A233:A254" si="99">A178</f>
        <v> Soybean</v>
      </c>
      <c r="B233" s="85" t="s">
        <v>616</v>
      </c>
      <c r="C233" s="115">
        <v>4000.0</v>
      </c>
      <c r="D233" s="116" t="str">
        <f t="shared" ref="D233:E233" si="97">B68*$C$233*D$172</f>
        <v>  53,493,145 </v>
      </c>
      <c r="E233" s="116" t="str">
        <f t="shared" si="97"/>
        <v>  65,529,103 </v>
      </c>
      <c r="F233" s="116" t="str">
        <f t="shared" ref="F233:J233" si="98">D68*$C$233*F172</f>
        <v>  78,634,923 </v>
      </c>
      <c r="G233" s="116" t="str">
        <f t="shared" si="98"/>
        <v>  92,887,503 </v>
      </c>
      <c r="H233" s="116" t="str">
        <f t="shared" si="98"/>
        <v>  108,368,754 </v>
      </c>
      <c r="I233" s="116" t="str">
        <f t="shared" si="98"/>
        <v>  125,165,911 </v>
      </c>
      <c r="J233" s="116" t="str">
        <f t="shared" si="98"/>
        <v>  143,371,861 </v>
      </c>
      <c r="K233" s="110"/>
      <c r="L233" s="110"/>
    </row>
    <row r="234" ht="15.75" customHeight="1">
      <c r="A234" s="351" t="str">
        <f t="shared" si="99"/>
        <v> Redgram</v>
      </c>
      <c r="B234" s="85" t="s">
        <v>616</v>
      </c>
      <c r="C234" s="115">
        <v>4000.0</v>
      </c>
      <c r="D234" s="116" t="str">
        <f>B69*$C$234*D$172</f>
        <v>  3,019,518 </v>
      </c>
      <c r="E234" s="116" t="str">
        <f t="shared" ref="E234:J234" si="100">C69*$C$234*E172</f>
        <v>  3,698,910 </v>
      </c>
      <c r="F234" s="116" t="str">
        <f t="shared" si="100"/>
        <v>  4,438,691 </v>
      </c>
      <c r="G234" s="116" t="str">
        <f t="shared" si="100"/>
        <v>  5,243,204 </v>
      </c>
      <c r="H234" s="116" t="str">
        <f t="shared" si="100"/>
        <v>  6,117,072 </v>
      </c>
      <c r="I234" s="116" t="str">
        <f t="shared" si="100"/>
        <v>  7,065,218 </v>
      </c>
      <c r="J234" s="116" t="str">
        <f t="shared" si="100"/>
        <v>  8,092,886 </v>
      </c>
      <c r="K234" s="110"/>
      <c r="L234" s="110"/>
    </row>
    <row r="235" ht="15.75" customHeight="1">
      <c r="A235" s="351" t="str">
        <f t="shared" si="99"/>
        <v> Turmeric</v>
      </c>
      <c r="B235" s="85" t="s">
        <v>616</v>
      </c>
      <c r="C235" s="115">
        <v>6000.0</v>
      </c>
      <c r="D235" s="116" t="str">
        <f>B70*$C$235*D$172</f>
        <v>  9,535,320 </v>
      </c>
      <c r="E235" s="116" t="str">
        <f t="shared" ref="E235:J235" si="101">C70*$C$235*E172</f>
        <v>  11,680,767 </v>
      </c>
      <c r="F235" s="116" t="str">
        <f t="shared" si="101"/>
        <v>  14,016,920 </v>
      </c>
      <c r="G235" s="116" t="str">
        <f t="shared" si="101"/>
        <v>  16,557,487 </v>
      </c>
      <c r="H235" s="116" t="str">
        <f t="shared" si="101"/>
        <v>  19,317,068 </v>
      </c>
      <c r="I235" s="116" t="str">
        <f t="shared" si="101"/>
        <v>  22,311,214 </v>
      </c>
      <c r="J235" s="116" t="str">
        <f t="shared" si="101"/>
        <v>  25,556,482 </v>
      </c>
      <c r="K235" s="110"/>
      <c r="L235" s="110"/>
    </row>
    <row r="236" ht="15.75" customHeight="1">
      <c r="A236" s="351" t="str">
        <f t="shared" si="99"/>
        <v> Bengalgram</v>
      </c>
      <c r="B236" s="85" t="s">
        <v>616</v>
      </c>
      <c r="C236" s="115">
        <v>2000.0</v>
      </c>
      <c r="D236" s="116" t="str">
        <f t="shared" ref="D236:J236" si="102">B71*$C$236*D$172</f>
        <v>  1,101,329 </v>
      </c>
      <c r="E236" s="116" t="str">
        <f t="shared" si="102"/>
        <v>  1,349,129 </v>
      </c>
      <c r="F236" s="116" t="str">
        <f t="shared" si="102"/>
        <v>  1,618,954 </v>
      </c>
      <c r="G236" s="116" t="str">
        <f t="shared" si="102"/>
        <v>  1,912,390 </v>
      </c>
      <c r="H236" s="116" t="str">
        <f t="shared" si="102"/>
        <v>  2,231,121 </v>
      </c>
      <c r="I236" s="116" t="str">
        <f t="shared" si="102"/>
        <v>  2,576,945 </v>
      </c>
      <c r="J236" s="116" t="str">
        <f t="shared" si="102"/>
        <v>  2,951,774 </v>
      </c>
      <c r="K236" s="110"/>
      <c r="L236" s="110"/>
    </row>
    <row r="237" ht="15.75" customHeight="1">
      <c r="A237" s="351" t="str">
        <f t="shared" si="99"/>
        <v> Channa</v>
      </c>
      <c r="B237" s="85" t="s">
        <v>616</v>
      </c>
      <c r="C237" s="115"/>
      <c r="D237" s="116" t="str">
        <f t="shared" ref="D237:J237" si="103">B72*$C$237*D$172</f>
        <v>  -   </v>
      </c>
      <c r="E237" s="116" t="str">
        <f t="shared" si="103"/>
        <v>  -   </v>
      </c>
      <c r="F237" s="116" t="str">
        <f t="shared" si="103"/>
        <v>  -   </v>
      </c>
      <c r="G237" s="116" t="str">
        <f t="shared" si="103"/>
        <v>  -   </v>
      </c>
      <c r="H237" s="116" t="str">
        <f t="shared" si="103"/>
        <v>  -   </v>
      </c>
      <c r="I237" s="116" t="str">
        <f t="shared" si="103"/>
        <v>  -   </v>
      </c>
      <c r="J237" s="116" t="str">
        <f t="shared" si="103"/>
        <v>  -   </v>
      </c>
      <c r="K237" s="110"/>
      <c r="L237" s="110"/>
    </row>
    <row r="238" ht="15.75" customHeight="1">
      <c r="A238" s="351" t="str">
        <f t="shared" si="99"/>
        <v> Udid</v>
      </c>
      <c r="B238" s="85" t="s">
        <v>616</v>
      </c>
      <c r="C238" s="115">
        <v>5000.0</v>
      </c>
      <c r="D238" s="116" t="str">
        <f t="shared" ref="D238:J238" si="104">B73*$C$238*D$172</f>
        <v>  -   </v>
      </c>
      <c r="E238" s="116" t="str">
        <f t="shared" si="104"/>
        <v>  -   </v>
      </c>
      <c r="F238" s="116" t="str">
        <f t="shared" si="104"/>
        <v>  -   </v>
      </c>
      <c r="G238" s="116" t="str">
        <f t="shared" si="104"/>
        <v>  -   </v>
      </c>
      <c r="H238" s="116" t="str">
        <f t="shared" si="104"/>
        <v>  -   </v>
      </c>
      <c r="I238" s="116" t="str">
        <f t="shared" si="104"/>
        <v>  -   </v>
      </c>
      <c r="J238" s="116" t="str">
        <f t="shared" si="104"/>
        <v>  -   </v>
      </c>
      <c r="K238" s="110"/>
      <c r="L238" s="110"/>
    </row>
    <row r="239" ht="15.75" customHeight="1">
      <c r="A239" s="351" t="str">
        <f t="shared" si="99"/>
        <v> Bajra</v>
      </c>
      <c r="B239" s="85" t="s">
        <v>616</v>
      </c>
      <c r="C239" s="115">
        <v>0.0</v>
      </c>
      <c r="D239" s="116" t="str">
        <f t="shared" ref="D239:J239" si="105">B74*$C$239*D$172</f>
        <v>  -   </v>
      </c>
      <c r="E239" s="116" t="str">
        <f t="shared" si="105"/>
        <v>  -   </v>
      </c>
      <c r="F239" s="116" t="str">
        <f t="shared" si="105"/>
        <v>  -   </v>
      </c>
      <c r="G239" s="116" t="str">
        <f t="shared" si="105"/>
        <v>  -   </v>
      </c>
      <c r="H239" s="116" t="str">
        <f t="shared" si="105"/>
        <v>  -   </v>
      </c>
      <c r="I239" s="116" t="str">
        <f t="shared" si="105"/>
        <v>  -   </v>
      </c>
      <c r="J239" s="116" t="str">
        <f t="shared" si="105"/>
        <v>  -   </v>
      </c>
      <c r="K239" s="110"/>
      <c r="L239" s="110"/>
    </row>
    <row r="240" ht="15.75" customHeight="1">
      <c r="A240" s="351" t="str">
        <f t="shared" si="99"/>
        <v> Jawar</v>
      </c>
      <c r="B240" s="85" t="s">
        <v>616</v>
      </c>
      <c r="C240" s="115" t="str">
        <f>+C185*90/100</f>
        <v>  1,800 </v>
      </c>
      <c r="D240" s="116" t="str">
        <f t="shared" ref="D240:J240" si="106">B75*$C$240*D$172</f>
        <v>  -   </v>
      </c>
      <c r="E240" s="116" t="str">
        <f t="shared" si="106"/>
        <v>  -   </v>
      </c>
      <c r="F240" s="116" t="str">
        <f t="shared" si="106"/>
        <v>  -   </v>
      </c>
      <c r="G240" s="116" t="str">
        <f t="shared" si="106"/>
        <v>  -   </v>
      </c>
      <c r="H240" s="116" t="str">
        <f t="shared" si="106"/>
        <v>  -   </v>
      </c>
      <c r="I240" s="116" t="str">
        <f t="shared" si="106"/>
        <v>  -   </v>
      </c>
      <c r="J240" s="116" t="str">
        <f t="shared" si="106"/>
        <v>  -   </v>
      </c>
      <c r="K240" s="110"/>
      <c r="L240" s="110"/>
    </row>
    <row r="241" ht="15.75" customHeight="1">
      <c r="A241" s="351" t="str">
        <f t="shared" si="99"/>
        <v/>
      </c>
      <c r="B241" s="85" t="s">
        <v>616</v>
      </c>
      <c r="C241" s="115"/>
      <c r="D241" s="116" t="str">
        <f t="shared" ref="D241:J241" si="107">B76*$C$241*D$172</f>
        <v>  -   </v>
      </c>
      <c r="E241" s="116" t="str">
        <f t="shared" si="107"/>
        <v>  -   </v>
      </c>
      <c r="F241" s="116" t="str">
        <f t="shared" si="107"/>
        <v>  -   </v>
      </c>
      <c r="G241" s="116" t="str">
        <f t="shared" si="107"/>
        <v>  -   </v>
      </c>
      <c r="H241" s="116" t="str">
        <f t="shared" si="107"/>
        <v>  -   </v>
      </c>
      <c r="I241" s="116" t="str">
        <f t="shared" si="107"/>
        <v>  -   </v>
      </c>
      <c r="J241" s="116" t="str">
        <f t="shared" si="107"/>
        <v>  -   </v>
      </c>
      <c r="K241" s="110"/>
      <c r="L241" s="110"/>
    </row>
    <row r="242" ht="15.75" customHeight="1">
      <c r="A242" s="351" t="str">
        <f t="shared" si="99"/>
        <v> Wheat</v>
      </c>
      <c r="B242" s="85" t="s">
        <v>616</v>
      </c>
      <c r="C242" s="115" t="str">
        <f>+C187*90/100</f>
        <v>  1,980 </v>
      </c>
      <c r="D242" s="116" t="str">
        <f t="shared" ref="D242:J242" si="108">B77*$C$242*D$172</f>
        <v>  4,035,586 </v>
      </c>
      <c r="E242" s="116" t="str">
        <f t="shared" si="108"/>
        <v>  4,943,593 </v>
      </c>
      <c r="F242" s="116" t="str">
        <f t="shared" si="108"/>
        <v>  5,932,311 </v>
      </c>
      <c r="G242" s="116" t="str">
        <f t="shared" si="108"/>
        <v>  7,007,543 </v>
      </c>
      <c r="H242" s="116" t="str">
        <f t="shared" si="108"/>
        <v>  8,175,466 </v>
      </c>
      <c r="I242" s="116" t="str">
        <f t="shared" si="108"/>
        <v>  9,442,664 </v>
      </c>
      <c r="J242" s="116" t="str">
        <f t="shared" si="108"/>
        <v>  10,816,142 </v>
      </c>
      <c r="K242" s="110"/>
      <c r="L242" s="110"/>
    </row>
    <row r="243" ht="15.75" customHeight="1">
      <c r="A243" s="351" t="str">
        <f t="shared" si="99"/>
        <v> Channa</v>
      </c>
      <c r="B243" s="85" t="s">
        <v>616</v>
      </c>
      <c r="C243" s="115">
        <v>4000.0</v>
      </c>
      <c r="D243" s="116" t="str">
        <f t="shared" ref="D243:J243" si="109">B78*$C$243*D$172</f>
        <v>  25,363,951 </v>
      </c>
      <c r="E243" s="116" t="str">
        <f t="shared" si="109"/>
        <v>  31,070,840 </v>
      </c>
      <c r="F243" s="116" t="str">
        <f t="shared" si="109"/>
        <v>  37,285,008 </v>
      </c>
      <c r="G243" s="116" t="str">
        <f t="shared" si="109"/>
        <v>  44,042,916 </v>
      </c>
      <c r="H243" s="116" t="str">
        <f t="shared" si="109"/>
        <v>  51,383,402 </v>
      </c>
      <c r="I243" s="116" t="str">
        <f t="shared" si="109"/>
        <v>  59,347,829 </v>
      </c>
      <c r="J243" s="116" t="str">
        <f t="shared" si="109"/>
        <v>  67,980,241 </v>
      </c>
      <c r="K243" s="110"/>
      <c r="L243" s="110"/>
    </row>
    <row r="244" ht="15.75" customHeight="1">
      <c r="A244" s="351" t="str">
        <f t="shared" si="99"/>
        <v> Jawar</v>
      </c>
      <c r="B244" s="85" t="s">
        <v>616</v>
      </c>
      <c r="C244" s="115"/>
      <c r="D244" s="116" t="str">
        <f t="shared" ref="D244:J244" si="110">B79*$C$244*D$172</f>
        <v>  -   </v>
      </c>
      <c r="E244" s="116" t="str">
        <f t="shared" si="110"/>
        <v>  -   </v>
      </c>
      <c r="F244" s="116" t="str">
        <f t="shared" si="110"/>
        <v>  -   </v>
      </c>
      <c r="G244" s="116" t="str">
        <f t="shared" si="110"/>
        <v>  -   </v>
      </c>
      <c r="H244" s="116" t="str">
        <f t="shared" si="110"/>
        <v>  -   </v>
      </c>
      <c r="I244" s="116" t="str">
        <f t="shared" si="110"/>
        <v>  -   </v>
      </c>
      <c r="J244" s="116" t="str">
        <f t="shared" si="110"/>
        <v>  -   </v>
      </c>
      <c r="K244" s="110"/>
      <c r="L244" s="110"/>
    </row>
    <row r="245" ht="15.75" customHeight="1">
      <c r="A245" s="351" t="str">
        <f t="shared" si="99"/>
        <v> Maize</v>
      </c>
      <c r="B245" s="85" t="s">
        <v>616</v>
      </c>
      <c r="C245" s="115"/>
      <c r="D245" s="116" t="str">
        <f t="shared" ref="D245:J245" si="111">B80*$C$245*D$172</f>
        <v>  -   </v>
      </c>
      <c r="E245" s="116" t="str">
        <f t="shared" si="111"/>
        <v>  -   </v>
      </c>
      <c r="F245" s="116" t="str">
        <f t="shared" si="111"/>
        <v>  -   </v>
      </c>
      <c r="G245" s="116" t="str">
        <f t="shared" si="111"/>
        <v>  -   </v>
      </c>
      <c r="H245" s="116" t="str">
        <f t="shared" si="111"/>
        <v>  -   </v>
      </c>
      <c r="I245" s="116" t="str">
        <f t="shared" si="111"/>
        <v>  -   </v>
      </c>
      <c r="J245" s="116" t="str">
        <f t="shared" si="111"/>
        <v>  -   </v>
      </c>
      <c r="K245" s="110"/>
      <c r="L245" s="110"/>
    </row>
    <row r="246" ht="15.75" customHeight="1">
      <c r="A246" s="351" t="str">
        <f t="shared" si="99"/>
        <v> Safflower</v>
      </c>
      <c r="B246" s="85" t="s">
        <v>616</v>
      </c>
      <c r="C246" s="115"/>
      <c r="D246" s="116" t="str">
        <f t="shared" ref="D246:J246" si="112">B81*$C$246*D$172</f>
        <v>  -   </v>
      </c>
      <c r="E246" s="116" t="str">
        <f t="shared" si="112"/>
        <v>  -   </v>
      </c>
      <c r="F246" s="116" t="str">
        <f t="shared" si="112"/>
        <v>  -   </v>
      </c>
      <c r="G246" s="116" t="str">
        <f t="shared" si="112"/>
        <v>  -   </v>
      </c>
      <c r="H246" s="116" t="str">
        <f t="shared" si="112"/>
        <v>  -   </v>
      </c>
      <c r="I246" s="116" t="str">
        <f t="shared" si="112"/>
        <v>  -   </v>
      </c>
      <c r="J246" s="116" t="str">
        <f t="shared" si="112"/>
        <v>  -   </v>
      </c>
      <c r="K246" s="110"/>
      <c r="L246" s="110"/>
    </row>
    <row r="247" ht="15.75" customHeight="1">
      <c r="A247" s="351" t="str">
        <f t="shared" si="99"/>
        <v> Groundnut</v>
      </c>
      <c r="B247" s="85" t="s">
        <v>616</v>
      </c>
      <c r="C247" s="115"/>
      <c r="D247" s="116" t="str">
        <f t="shared" ref="D247:J247" si="113">B82*$C$247*D$172</f>
        <v>  -   </v>
      </c>
      <c r="E247" s="116" t="str">
        <f t="shared" si="113"/>
        <v>  -   </v>
      </c>
      <c r="F247" s="116" t="str">
        <f t="shared" si="113"/>
        <v>  -   </v>
      </c>
      <c r="G247" s="116" t="str">
        <f t="shared" si="113"/>
        <v>  -   </v>
      </c>
      <c r="H247" s="116" t="str">
        <f t="shared" si="113"/>
        <v>  -   </v>
      </c>
      <c r="I247" s="116" t="str">
        <f t="shared" si="113"/>
        <v>  -   </v>
      </c>
      <c r="J247" s="116" t="str">
        <f t="shared" si="113"/>
        <v>  -   </v>
      </c>
      <c r="K247" s="110"/>
      <c r="L247" s="110"/>
    </row>
    <row r="248" ht="15.75" customHeight="1">
      <c r="A248" s="351" t="str">
        <f t="shared" si="99"/>
        <v/>
      </c>
      <c r="B248" s="85" t="s">
        <v>616</v>
      </c>
      <c r="C248" s="115"/>
      <c r="D248" s="116" t="str">
        <f t="shared" ref="D248:J248" si="114">B83*$C$248*D$172</f>
        <v>  -   </v>
      </c>
      <c r="E248" s="116" t="str">
        <f t="shared" si="114"/>
        <v>  -   </v>
      </c>
      <c r="F248" s="116" t="str">
        <f t="shared" si="114"/>
        <v>  -   </v>
      </c>
      <c r="G248" s="116" t="str">
        <f t="shared" si="114"/>
        <v>  -   </v>
      </c>
      <c r="H248" s="116" t="str">
        <f t="shared" si="114"/>
        <v>  -   </v>
      </c>
      <c r="I248" s="116" t="str">
        <f t="shared" si="114"/>
        <v>  -   </v>
      </c>
      <c r="J248" s="116" t="str">
        <f t="shared" si="114"/>
        <v>  -   </v>
      </c>
      <c r="K248" s="110"/>
      <c r="L248" s="110"/>
    </row>
    <row r="249" ht="15.75" customHeight="1">
      <c r="A249" s="351" t="str">
        <f t="shared" si="99"/>
        <v/>
      </c>
      <c r="B249" s="85" t="s">
        <v>616</v>
      </c>
      <c r="C249" s="115"/>
      <c r="D249" s="116" t="str">
        <f t="shared" ref="D249:J249" si="115">B84*$C249*D$172</f>
        <v>  -   </v>
      </c>
      <c r="E249" s="116" t="str">
        <f t="shared" si="115"/>
        <v>  -   </v>
      </c>
      <c r="F249" s="116" t="str">
        <f t="shared" si="115"/>
        <v>  -   </v>
      </c>
      <c r="G249" s="116" t="str">
        <f t="shared" si="115"/>
        <v>  -   </v>
      </c>
      <c r="H249" s="116" t="str">
        <f t="shared" si="115"/>
        <v>  -   </v>
      </c>
      <c r="I249" s="116" t="str">
        <f t="shared" si="115"/>
        <v>  -   </v>
      </c>
      <c r="J249" s="116" t="str">
        <f t="shared" si="115"/>
        <v>  -   </v>
      </c>
      <c r="K249" s="110"/>
      <c r="L249" s="110"/>
    </row>
    <row r="250" ht="15.75" customHeight="1">
      <c r="A250" s="351" t="str">
        <f t="shared" si="99"/>
        <v> Soybean</v>
      </c>
      <c r="B250" s="85" t="s">
        <v>616</v>
      </c>
      <c r="C250" s="115"/>
      <c r="D250" s="116" t="str">
        <f t="shared" ref="D250:J250" si="116">B85*$C250*D$172</f>
        <v>  -   </v>
      </c>
      <c r="E250" s="116" t="str">
        <f t="shared" si="116"/>
        <v>  -   </v>
      </c>
      <c r="F250" s="116" t="str">
        <f t="shared" si="116"/>
        <v>  -   </v>
      </c>
      <c r="G250" s="116" t="str">
        <f t="shared" si="116"/>
        <v>  -   </v>
      </c>
      <c r="H250" s="116" t="str">
        <f t="shared" si="116"/>
        <v>  -   </v>
      </c>
      <c r="I250" s="116" t="str">
        <f t="shared" si="116"/>
        <v>  -   </v>
      </c>
      <c r="J250" s="116" t="str">
        <f t="shared" si="116"/>
        <v>  -   </v>
      </c>
      <c r="K250" s="110"/>
      <c r="L250" s="110"/>
    </row>
    <row r="251" ht="15.75" customHeight="1">
      <c r="A251" s="351" t="str">
        <f t="shared" si="99"/>
        <v/>
      </c>
      <c r="B251" s="85" t="s">
        <v>616</v>
      </c>
      <c r="C251" s="115"/>
      <c r="D251" s="116" t="str">
        <f t="shared" ref="D251:J251" si="117">B86*$C251*D$172</f>
        <v>  -   </v>
      </c>
      <c r="E251" s="116" t="str">
        <f t="shared" si="117"/>
        <v>  -   </v>
      </c>
      <c r="F251" s="116" t="str">
        <f t="shared" si="117"/>
        <v>  -   </v>
      </c>
      <c r="G251" s="116" t="str">
        <f t="shared" si="117"/>
        <v>  -   </v>
      </c>
      <c r="H251" s="116" t="str">
        <f t="shared" si="117"/>
        <v>  -   </v>
      </c>
      <c r="I251" s="116" t="str">
        <f t="shared" si="117"/>
        <v>  -   </v>
      </c>
      <c r="J251" s="116" t="str">
        <f t="shared" si="117"/>
        <v>  -   </v>
      </c>
      <c r="K251" s="110"/>
      <c r="L251" s="110"/>
    </row>
    <row r="252" ht="15.75" customHeight="1">
      <c r="A252" s="351" t="str">
        <f t="shared" si="99"/>
        <v/>
      </c>
      <c r="B252" s="85" t="s">
        <v>616</v>
      </c>
      <c r="C252" s="115"/>
      <c r="D252" s="116" t="str">
        <f t="shared" ref="D252:J252" si="118">B87*$C252*D$172</f>
        <v>  -   </v>
      </c>
      <c r="E252" s="116" t="str">
        <f t="shared" si="118"/>
        <v>  -   </v>
      </c>
      <c r="F252" s="116" t="str">
        <f t="shared" si="118"/>
        <v>  -   </v>
      </c>
      <c r="G252" s="116" t="str">
        <f t="shared" si="118"/>
        <v>  -   </v>
      </c>
      <c r="H252" s="116" t="str">
        <f t="shared" si="118"/>
        <v>  -   </v>
      </c>
      <c r="I252" s="116" t="str">
        <f t="shared" si="118"/>
        <v>  -   </v>
      </c>
      <c r="J252" s="116" t="str">
        <f t="shared" si="118"/>
        <v>  -   </v>
      </c>
      <c r="K252" s="110"/>
      <c r="L252" s="110"/>
    </row>
    <row r="253" ht="15.75" customHeight="1">
      <c r="A253" s="351" t="str">
        <f t="shared" si="99"/>
        <v/>
      </c>
      <c r="B253" s="85" t="s">
        <v>616</v>
      </c>
      <c r="C253" s="115"/>
      <c r="D253" s="116" t="str">
        <f t="shared" ref="D253:J253" si="119">B88*$C253*D$172</f>
        <v>  -   </v>
      </c>
      <c r="E253" s="116" t="str">
        <f t="shared" si="119"/>
        <v>  -   </v>
      </c>
      <c r="F253" s="116" t="str">
        <f t="shared" si="119"/>
        <v>  -   </v>
      </c>
      <c r="G253" s="116" t="str">
        <f t="shared" si="119"/>
        <v>  -   </v>
      </c>
      <c r="H253" s="116" t="str">
        <f t="shared" si="119"/>
        <v>  -   </v>
      </c>
      <c r="I253" s="116" t="str">
        <f t="shared" si="119"/>
        <v>  -   </v>
      </c>
      <c r="J253" s="116" t="str">
        <f t="shared" si="119"/>
        <v>  -   </v>
      </c>
      <c r="K253" s="110"/>
      <c r="L253" s="110"/>
    </row>
    <row r="254" ht="15.75" customHeight="1">
      <c r="A254" s="85" t="str">
        <f t="shared" si="99"/>
        <v/>
      </c>
      <c r="B254" s="85" t="s">
        <v>616</v>
      </c>
      <c r="C254" s="115"/>
      <c r="D254" s="116" t="str">
        <f t="shared" ref="D254:J254" si="120">B89*$C254*D$172</f>
        <v>  -   </v>
      </c>
      <c r="E254" s="116" t="str">
        <f t="shared" si="120"/>
        <v>  -   </v>
      </c>
      <c r="F254" s="116" t="str">
        <f t="shared" si="120"/>
        <v>  -   </v>
      </c>
      <c r="G254" s="116" t="str">
        <f t="shared" si="120"/>
        <v>  -   </v>
      </c>
      <c r="H254" s="116" t="str">
        <f t="shared" si="120"/>
        <v>  -   </v>
      </c>
      <c r="I254" s="116" t="str">
        <f t="shared" si="120"/>
        <v>  -   </v>
      </c>
      <c r="J254" s="116" t="str">
        <f t="shared" si="120"/>
        <v>  -   </v>
      </c>
      <c r="K254" s="110"/>
      <c r="L254" s="110"/>
    </row>
    <row r="255" ht="15.75" customHeight="1">
      <c r="A255" s="85" t="str">
        <f t="shared" ref="A255:A274" si="122">A201</f>
        <v/>
      </c>
      <c r="B255" s="85"/>
      <c r="C255" s="115"/>
      <c r="D255" s="116" t="str">
        <f t="shared" ref="D255:J255" si="121">B90*$C255*D$172</f>
        <v>  -   </v>
      </c>
      <c r="E255" s="116" t="str">
        <f t="shared" si="121"/>
        <v>  -   </v>
      </c>
      <c r="F255" s="116" t="str">
        <f t="shared" si="121"/>
        <v>  -   </v>
      </c>
      <c r="G255" s="116" t="str">
        <f t="shared" si="121"/>
        <v>  -   </v>
      </c>
      <c r="H255" s="116" t="str">
        <f t="shared" si="121"/>
        <v>  -   </v>
      </c>
      <c r="I255" s="116" t="str">
        <f t="shared" si="121"/>
        <v>  -   </v>
      </c>
      <c r="J255" s="116" t="str">
        <f t="shared" si="121"/>
        <v>  -   </v>
      </c>
      <c r="K255" s="110"/>
      <c r="L255" s="110"/>
    </row>
    <row r="256" ht="15.75" customHeight="1">
      <c r="A256" s="347" t="str">
        <f t="shared" si="122"/>
        <v> Fruit  &amp; Vegetables Crop Production Details</v>
      </c>
      <c r="B256" s="85"/>
      <c r="C256" s="115"/>
      <c r="D256" s="116"/>
      <c r="E256" s="116"/>
      <c r="F256" s="116"/>
      <c r="G256" s="116"/>
      <c r="H256" s="116"/>
      <c r="I256" s="116"/>
      <c r="J256" s="116"/>
      <c r="K256" s="110"/>
      <c r="L256" s="110"/>
    </row>
    <row r="257" ht="15.75" customHeight="1">
      <c r="A257" s="351" t="str">
        <f t="shared" si="122"/>
        <v> Onion</v>
      </c>
      <c r="B257" s="85" t="s">
        <v>616</v>
      </c>
      <c r="C257" s="115" t="str">
        <f t="shared" ref="C257:C258" si="124">+C203*95/100</f>
        <v>  -   </v>
      </c>
      <c r="D257" s="116" t="str">
        <f t="shared" ref="D257:J257" si="123">B92*$C257*D$172</f>
        <v>  -   </v>
      </c>
      <c r="E257" s="116" t="str">
        <f t="shared" si="123"/>
        <v>  -   </v>
      </c>
      <c r="F257" s="116" t="str">
        <f t="shared" si="123"/>
        <v>  -   </v>
      </c>
      <c r="G257" s="116" t="str">
        <f t="shared" si="123"/>
        <v>  -   </v>
      </c>
      <c r="H257" s="116" t="str">
        <f t="shared" si="123"/>
        <v>  -   </v>
      </c>
      <c r="I257" s="116" t="str">
        <f t="shared" si="123"/>
        <v>  -   </v>
      </c>
      <c r="J257" s="116" t="str">
        <f t="shared" si="123"/>
        <v>  -   </v>
      </c>
      <c r="K257" s="110"/>
      <c r="L257" s="110"/>
    </row>
    <row r="258" ht="15.75" customHeight="1">
      <c r="A258" s="351" t="str">
        <f t="shared" si="122"/>
        <v> Tomato</v>
      </c>
      <c r="B258" s="85" t="s">
        <v>616</v>
      </c>
      <c r="C258" s="115" t="str">
        <f t="shared" si="124"/>
        <v>  -   </v>
      </c>
      <c r="D258" s="116" t="str">
        <f t="shared" ref="D258:J258" si="125">B93*$C258*D$172</f>
        <v>  -   </v>
      </c>
      <c r="E258" s="116" t="str">
        <f t="shared" si="125"/>
        <v>  -   </v>
      </c>
      <c r="F258" s="116" t="str">
        <f t="shared" si="125"/>
        <v>  -   </v>
      </c>
      <c r="G258" s="116" t="str">
        <f t="shared" si="125"/>
        <v>  -   </v>
      </c>
      <c r="H258" s="116" t="str">
        <f t="shared" si="125"/>
        <v>  -   </v>
      </c>
      <c r="I258" s="116" t="str">
        <f t="shared" si="125"/>
        <v>  -   </v>
      </c>
      <c r="J258" s="116" t="str">
        <f t="shared" si="125"/>
        <v>  -   </v>
      </c>
      <c r="K258" s="110"/>
      <c r="L258" s="110"/>
    </row>
    <row r="259" ht="15.75" customHeight="1">
      <c r="A259" s="351" t="str">
        <f t="shared" si="122"/>
        <v> Okra</v>
      </c>
      <c r="B259" s="85" t="s">
        <v>616</v>
      </c>
      <c r="C259" s="115">
        <v>0.0</v>
      </c>
      <c r="D259" s="116" t="str">
        <f t="shared" ref="D259:J259" si="126">B94*$C259*D$172</f>
        <v>  -   </v>
      </c>
      <c r="E259" s="116" t="str">
        <f t="shared" si="126"/>
        <v>  -   </v>
      </c>
      <c r="F259" s="116" t="str">
        <f t="shared" si="126"/>
        <v>  -   </v>
      </c>
      <c r="G259" s="116" t="str">
        <f t="shared" si="126"/>
        <v>  -   </v>
      </c>
      <c r="H259" s="116" t="str">
        <f t="shared" si="126"/>
        <v>  -   </v>
      </c>
      <c r="I259" s="116" t="str">
        <f t="shared" si="126"/>
        <v>  -   </v>
      </c>
      <c r="J259" s="116" t="str">
        <f t="shared" si="126"/>
        <v>  -   </v>
      </c>
      <c r="K259" s="110"/>
      <c r="L259" s="110"/>
    </row>
    <row r="260" ht="15.75" customHeight="1">
      <c r="A260" s="351" t="str">
        <f t="shared" si="122"/>
        <v> Chilli</v>
      </c>
      <c r="B260" s="85" t="s">
        <v>616</v>
      </c>
      <c r="C260" s="115" t="str">
        <f t="shared" ref="C260:C261" si="128">+C206*95/100</f>
        <v>  -   </v>
      </c>
      <c r="D260" s="116" t="str">
        <f t="shared" ref="D260:J260" si="127">B95*$C260*D$172</f>
        <v>  -   </v>
      </c>
      <c r="E260" s="116" t="str">
        <f t="shared" si="127"/>
        <v>  -   </v>
      </c>
      <c r="F260" s="116" t="str">
        <f t="shared" si="127"/>
        <v>  -   </v>
      </c>
      <c r="G260" s="116" t="str">
        <f t="shared" si="127"/>
        <v>  -   </v>
      </c>
      <c r="H260" s="116" t="str">
        <f t="shared" si="127"/>
        <v>  -   </v>
      </c>
      <c r="I260" s="116" t="str">
        <f t="shared" si="127"/>
        <v>  -   </v>
      </c>
      <c r="J260" s="116" t="str">
        <f t="shared" si="127"/>
        <v>  -   </v>
      </c>
      <c r="K260" s="110"/>
      <c r="L260" s="110"/>
    </row>
    <row r="261" ht="15.75" customHeight="1">
      <c r="A261" s="351" t="str">
        <f t="shared" si="122"/>
        <v> Potato</v>
      </c>
      <c r="B261" s="85" t="s">
        <v>616</v>
      </c>
      <c r="C261" s="115" t="str">
        <f t="shared" si="128"/>
        <v>  -   </v>
      </c>
      <c r="D261" s="116" t="str">
        <f t="shared" ref="D261:J261" si="129">B96*$C261*D$172</f>
        <v>  -   </v>
      </c>
      <c r="E261" s="116" t="str">
        <f t="shared" si="129"/>
        <v>  -   </v>
      </c>
      <c r="F261" s="116" t="str">
        <f t="shared" si="129"/>
        <v>  -   </v>
      </c>
      <c r="G261" s="116" t="str">
        <f t="shared" si="129"/>
        <v>  -   </v>
      </c>
      <c r="H261" s="116" t="str">
        <f t="shared" si="129"/>
        <v>  -   </v>
      </c>
      <c r="I261" s="116" t="str">
        <f t="shared" si="129"/>
        <v>  -   </v>
      </c>
      <c r="J261" s="116" t="str">
        <f t="shared" si="129"/>
        <v>  -   </v>
      </c>
      <c r="K261" s="110"/>
      <c r="L261" s="110"/>
    </row>
    <row r="262" ht="15.75" customHeight="1">
      <c r="A262" s="351" t="str">
        <f t="shared" si="122"/>
        <v/>
      </c>
      <c r="B262" s="85" t="s">
        <v>616</v>
      </c>
      <c r="C262" s="115"/>
      <c r="D262" s="116" t="str">
        <f t="shared" ref="D262:J262" si="130">B97*$C262*D$172</f>
        <v>  -   </v>
      </c>
      <c r="E262" s="116" t="str">
        <f t="shared" si="130"/>
        <v>  -   </v>
      </c>
      <c r="F262" s="116" t="str">
        <f t="shared" si="130"/>
        <v>  -   </v>
      </c>
      <c r="G262" s="116" t="str">
        <f t="shared" si="130"/>
        <v>  -   </v>
      </c>
      <c r="H262" s="116" t="str">
        <f t="shared" si="130"/>
        <v>  -   </v>
      </c>
      <c r="I262" s="116" t="str">
        <f t="shared" si="130"/>
        <v>  -   </v>
      </c>
      <c r="J262" s="116" t="str">
        <f t="shared" si="130"/>
        <v>  -   </v>
      </c>
      <c r="K262" s="110"/>
      <c r="L262" s="110"/>
    </row>
    <row r="263" ht="15.75" customHeight="1">
      <c r="A263" s="351" t="str">
        <f t="shared" si="122"/>
        <v/>
      </c>
      <c r="B263" s="85" t="s">
        <v>616</v>
      </c>
      <c r="C263" s="115"/>
      <c r="D263" s="116" t="str">
        <f t="shared" ref="D263:J263" si="131">B98*$C263*D$172</f>
        <v>  -   </v>
      </c>
      <c r="E263" s="116" t="str">
        <f t="shared" si="131"/>
        <v>  -   </v>
      </c>
      <c r="F263" s="116" t="str">
        <f t="shared" si="131"/>
        <v>  -   </v>
      </c>
      <c r="G263" s="116" t="str">
        <f t="shared" si="131"/>
        <v>  -   </v>
      </c>
      <c r="H263" s="116" t="str">
        <f t="shared" si="131"/>
        <v>  -   </v>
      </c>
      <c r="I263" s="116" t="str">
        <f t="shared" si="131"/>
        <v>  -   </v>
      </c>
      <c r="J263" s="116" t="str">
        <f t="shared" si="131"/>
        <v>  -   </v>
      </c>
      <c r="K263" s="110"/>
      <c r="L263" s="110"/>
    </row>
    <row r="264" ht="15.75" customHeight="1">
      <c r="A264" s="351" t="str">
        <f t="shared" si="122"/>
        <v/>
      </c>
      <c r="B264" s="85" t="s">
        <v>616</v>
      </c>
      <c r="C264" s="115"/>
      <c r="D264" s="116" t="str">
        <f t="shared" ref="D264:J264" si="132">B99*$C264*D$172</f>
        <v>  -   </v>
      </c>
      <c r="E264" s="116" t="str">
        <f t="shared" si="132"/>
        <v>  -   </v>
      </c>
      <c r="F264" s="116" t="str">
        <f t="shared" si="132"/>
        <v>  -   </v>
      </c>
      <c r="G264" s="116" t="str">
        <f t="shared" si="132"/>
        <v>  -   </v>
      </c>
      <c r="H264" s="116" t="str">
        <f t="shared" si="132"/>
        <v>  -   </v>
      </c>
      <c r="I264" s="116" t="str">
        <f t="shared" si="132"/>
        <v>  -   </v>
      </c>
      <c r="J264" s="116" t="str">
        <f t="shared" si="132"/>
        <v>  -   </v>
      </c>
      <c r="K264" s="110"/>
      <c r="L264" s="110"/>
    </row>
    <row r="265" ht="15.75" customHeight="1">
      <c r="A265" s="351" t="str">
        <f t="shared" si="122"/>
        <v/>
      </c>
      <c r="B265" s="85" t="s">
        <v>616</v>
      </c>
      <c r="C265" s="115"/>
      <c r="D265" s="116" t="str">
        <f t="shared" ref="D265:J265" si="133">B100*$C265*D$172</f>
        <v>  -   </v>
      </c>
      <c r="E265" s="116" t="str">
        <f t="shared" si="133"/>
        <v>  -   </v>
      </c>
      <c r="F265" s="116" t="str">
        <f t="shared" si="133"/>
        <v>  -   </v>
      </c>
      <c r="G265" s="116" t="str">
        <f t="shared" si="133"/>
        <v>  -   </v>
      </c>
      <c r="H265" s="116" t="str">
        <f t="shared" si="133"/>
        <v>  -   </v>
      </c>
      <c r="I265" s="116" t="str">
        <f t="shared" si="133"/>
        <v>  -   </v>
      </c>
      <c r="J265" s="116" t="str">
        <f t="shared" si="133"/>
        <v>  -   </v>
      </c>
      <c r="K265" s="110"/>
      <c r="L265" s="110"/>
    </row>
    <row r="266" ht="15.75" customHeight="1">
      <c r="A266" s="351" t="str">
        <f t="shared" si="122"/>
        <v> Onion</v>
      </c>
      <c r="B266" s="85" t="s">
        <v>616</v>
      </c>
      <c r="C266" s="115"/>
      <c r="D266" s="116" t="str">
        <f t="shared" ref="D266:J266" si="134">B101*$C266*D$172</f>
        <v>  -   </v>
      </c>
      <c r="E266" s="116" t="str">
        <f t="shared" si="134"/>
        <v>  -   </v>
      </c>
      <c r="F266" s="116" t="str">
        <f t="shared" si="134"/>
        <v>  -   </v>
      </c>
      <c r="G266" s="116" t="str">
        <f t="shared" si="134"/>
        <v>  -   </v>
      </c>
      <c r="H266" s="116" t="str">
        <f t="shared" si="134"/>
        <v>  -   </v>
      </c>
      <c r="I266" s="116" t="str">
        <f t="shared" si="134"/>
        <v>  -   </v>
      </c>
      <c r="J266" s="116" t="str">
        <f t="shared" si="134"/>
        <v>  -   </v>
      </c>
      <c r="K266" s="110"/>
      <c r="L266" s="110"/>
    </row>
    <row r="267" ht="15.75" customHeight="1">
      <c r="A267" s="351" t="str">
        <f t="shared" si="122"/>
        <v> Tomato</v>
      </c>
      <c r="B267" s="85" t="s">
        <v>616</v>
      </c>
      <c r="C267" s="115"/>
      <c r="D267" s="116" t="str">
        <f t="shared" ref="D267:J267" si="135">B102*$C267*D$172</f>
        <v>  -   </v>
      </c>
      <c r="E267" s="116" t="str">
        <f t="shared" si="135"/>
        <v>  -   </v>
      </c>
      <c r="F267" s="116" t="str">
        <f t="shared" si="135"/>
        <v>  -   </v>
      </c>
      <c r="G267" s="116" t="str">
        <f t="shared" si="135"/>
        <v>  -   </v>
      </c>
      <c r="H267" s="116" t="str">
        <f t="shared" si="135"/>
        <v>  -   </v>
      </c>
      <c r="I267" s="116" t="str">
        <f t="shared" si="135"/>
        <v>  -   </v>
      </c>
      <c r="J267" s="116" t="str">
        <f t="shared" si="135"/>
        <v>  -   </v>
      </c>
      <c r="K267" s="110"/>
      <c r="L267" s="110"/>
    </row>
    <row r="268" ht="15.75" customHeight="1">
      <c r="A268" s="351" t="str">
        <f t="shared" si="122"/>
        <v> Okra</v>
      </c>
      <c r="B268" s="85" t="s">
        <v>616</v>
      </c>
      <c r="C268" s="115"/>
      <c r="D268" s="116" t="str">
        <f t="shared" ref="D268:J268" si="136">B103*$C268*D$172</f>
        <v>  -   </v>
      </c>
      <c r="E268" s="116" t="str">
        <f t="shared" si="136"/>
        <v>  -   </v>
      </c>
      <c r="F268" s="116" t="str">
        <f t="shared" si="136"/>
        <v>  -   </v>
      </c>
      <c r="G268" s="116" t="str">
        <f t="shared" si="136"/>
        <v>  -   </v>
      </c>
      <c r="H268" s="116" t="str">
        <f t="shared" si="136"/>
        <v>  -   </v>
      </c>
      <c r="I268" s="116" t="str">
        <f t="shared" si="136"/>
        <v>  -   </v>
      </c>
      <c r="J268" s="116" t="str">
        <f t="shared" si="136"/>
        <v>  -   </v>
      </c>
      <c r="K268" s="110"/>
      <c r="L268" s="110"/>
    </row>
    <row r="269" ht="15.75" customHeight="1">
      <c r="A269" s="351" t="str">
        <f t="shared" si="122"/>
        <v> Chilli</v>
      </c>
      <c r="B269" s="85" t="s">
        <v>616</v>
      </c>
      <c r="C269" s="115"/>
      <c r="D269" s="116" t="str">
        <f t="shared" ref="D269:J269" si="137">B104*$C269*D$172</f>
        <v>  -   </v>
      </c>
      <c r="E269" s="116" t="str">
        <f t="shared" si="137"/>
        <v>  -   </v>
      </c>
      <c r="F269" s="116" t="str">
        <f t="shared" si="137"/>
        <v>  -   </v>
      </c>
      <c r="G269" s="116" t="str">
        <f t="shared" si="137"/>
        <v>  -   </v>
      </c>
      <c r="H269" s="116" t="str">
        <f t="shared" si="137"/>
        <v>  -   </v>
      </c>
      <c r="I269" s="116" t="str">
        <f t="shared" si="137"/>
        <v>  -   </v>
      </c>
      <c r="J269" s="116" t="str">
        <f t="shared" si="137"/>
        <v>  -   </v>
      </c>
      <c r="K269" s="110"/>
      <c r="L269" s="110"/>
    </row>
    <row r="270" ht="15.75" customHeight="1">
      <c r="A270" s="351" t="str">
        <f t="shared" si="122"/>
        <v> Brinjal</v>
      </c>
      <c r="B270" s="85" t="s">
        <v>616</v>
      </c>
      <c r="C270" s="115"/>
      <c r="D270" s="116" t="str">
        <f t="shared" ref="D270:J270" si="138">B105*$C270*D$172</f>
        <v>  -   </v>
      </c>
      <c r="E270" s="116" t="str">
        <f t="shared" si="138"/>
        <v>  -   </v>
      </c>
      <c r="F270" s="116" t="str">
        <f t="shared" si="138"/>
        <v>  -   </v>
      </c>
      <c r="G270" s="116" t="str">
        <f t="shared" si="138"/>
        <v>  -   </v>
      </c>
      <c r="H270" s="116" t="str">
        <f t="shared" si="138"/>
        <v>  -   </v>
      </c>
      <c r="I270" s="116" t="str">
        <f t="shared" si="138"/>
        <v>  -   </v>
      </c>
      <c r="J270" s="116" t="str">
        <f t="shared" si="138"/>
        <v>  -   </v>
      </c>
      <c r="K270" s="110"/>
      <c r="L270" s="110"/>
    </row>
    <row r="271" ht="15.75" customHeight="1">
      <c r="A271" s="351" t="str">
        <f t="shared" si="122"/>
        <v/>
      </c>
      <c r="B271" s="85" t="s">
        <v>616</v>
      </c>
      <c r="C271" s="115"/>
      <c r="D271" s="116" t="str">
        <f t="shared" ref="D271:J271" si="139">B106*$C271*D$172</f>
        <v>  -   </v>
      </c>
      <c r="E271" s="116" t="str">
        <f t="shared" si="139"/>
        <v>  -   </v>
      </c>
      <c r="F271" s="116" t="str">
        <f t="shared" si="139"/>
        <v>  -   </v>
      </c>
      <c r="G271" s="116" t="str">
        <f t="shared" si="139"/>
        <v>  -   </v>
      </c>
      <c r="H271" s="116" t="str">
        <f t="shared" si="139"/>
        <v>  -   </v>
      </c>
      <c r="I271" s="116" t="str">
        <f t="shared" si="139"/>
        <v>  -   </v>
      </c>
      <c r="J271" s="116" t="str">
        <f t="shared" si="139"/>
        <v>  -   </v>
      </c>
      <c r="K271" s="110"/>
      <c r="L271" s="110"/>
    </row>
    <row r="272" ht="15.75" customHeight="1">
      <c r="A272" s="351" t="str">
        <f t="shared" si="122"/>
        <v/>
      </c>
      <c r="B272" s="85" t="s">
        <v>616</v>
      </c>
      <c r="C272" s="115"/>
      <c r="D272" s="116" t="str">
        <f t="shared" ref="D272:J272" si="140">B107*$C272*D$172</f>
        <v>  -   </v>
      </c>
      <c r="E272" s="116" t="str">
        <f t="shared" si="140"/>
        <v>  -   </v>
      </c>
      <c r="F272" s="116" t="str">
        <f t="shared" si="140"/>
        <v>  -   </v>
      </c>
      <c r="G272" s="116" t="str">
        <f t="shared" si="140"/>
        <v>  -   </v>
      </c>
      <c r="H272" s="116" t="str">
        <f t="shared" si="140"/>
        <v>  -   </v>
      </c>
      <c r="I272" s="116" t="str">
        <f t="shared" si="140"/>
        <v>  -   </v>
      </c>
      <c r="J272" s="116" t="str">
        <f t="shared" si="140"/>
        <v>  -   </v>
      </c>
      <c r="K272" s="110"/>
      <c r="L272" s="110"/>
    </row>
    <row r="273" ht="15.75" customHeight="1">
      <c r="A273" s="351" t="str">
        <f t="shared" si="122"/>
        <v/>
      </c>
      <c r="B273" s="85" t="s">
        <v>616</v>
      </c>
      <c r="C273" s="115"/>
      <c r="D273" s="116" t="str">
        <f t="shared" ref="D273:J273" si="141">B108*$C273*D$172</f>
        <v>  -   </v>
      </c>
      <c r="E273" s="116" t="str">
        <f t="shared" si="141"/>
        <v>  -   </v>
      </c>
      <c r="F273" s="116" t="str">
        <f t="shared" si="141"/>
        <v>  -   </v>
      </c>
      <c r="G273" s="116" t="str">
        <f t="shared" si="141"/>
        <v>  -   </v>
      </c>
      <c r="H273" s="116" t="str">
        <f t="shared" si="141"/>
        <v>  -   </v>
      </c>
      <c r="I273" s="116" t="str">
        <f t="shared" si="141"/>
        <v>  -   </v>
      </c>
      <c r="J273" s="116" t="str">
        <f t="shared" si="141"/>
        <v>  -   </v>
      </c>
      <c r="K273" s="110"/>
      <c r="L273" s="110"/>
    </row>
    <row r="274" ht="15.75" customHeight="1">
      <c r="A274" s="351" t="str">
        <f t="shared" si="122"/>
        <v/>
      </c>
      <c r="B274" s="85" t="s">
        <v>616</v>
      </c>
      <c r="C274" s="115"/>
      <c r="D274" s="116" t="str">
        <f t="shared" ref="D274:J274" si="142">B109*$C274*D$172</f>
        <v>  -   </v>
      </c>
      <c r="E274" s="116" t="str">
        <f t="shared" si="142"/>
        <v>  -   </v>
      </c>
      <c r="F274" s="116" t="str">
        <f t="shared" si="142"/>
        <v>  -   </v>
      </c>
      <c r="G274" s="116" t="str">
        <f t="shared" si="142"/>
        <v>  -   </v>
      </c>
      <c r="H274" s="116" t="str">
        <f t="shared" si="142"/>
        <v>  -   </v>
      </c>
      <c r="I274" s="116" t="str">
        <f t="shared" si="142"/>
        <v>  -   </v>
      </c>
      <c r="J274" s="116" t="str">
        <f t="shared" si="142"/>
        <v>  -   </v>
      </c>
      <c r="K274" s="110"/>
      <c r="L274" s="110"/>
    </row>
    <row r="275" ht="15.75" customHeight="1">
      <c r="A275" s="351" t="str">
        <f t="shared" ref="A275:A279" si="144">A224</f>
        <v> Pomegranate</v>
      </c>
      <c r="B275" s="85" t="s">
        <v>616</v>
      </c>
      <c r="C275" s="115"/>
      <c r="D275" s="116" t="str">
        <f t="shared" ref="D275:J275" si="143">B113*$C275*D$172</f>
        <v>  -   </v>
      </c>
      <c r="E275" s="116" t="str">
        <f t="shared" si="143"/>
        <v>  -   </v>
      </c>
      <c r="F275" s="116" t="str">
        <f t="shared" si="143"/>
        <v>  -   </v>
      </c>
      <c r="G275" s="116" t="str">
        <f t="shared" si="143"/>
        <v>  -   </v>
      </c>
      <c r="H275" s="116" t="str">
        <f t="shared" si="143"/>
        <v>  -   </v>
      </c>
      <c r="I275" s="116" t="str">
        <f t="shared" si="143"/>
        <v>  -   </v>
      </c>
      <c r="J275" s="116" t="str">
        <f t="shared" si="143"/>
        <v>  -   </v>
      </c>
      <c r="K275" s="110"/>
      <c r="L275" s="110"/>
    </row>
    <row r="276" ht="15.75" customHeight="1">
      <c r="A276" s="351" t="str">
        <f t="shared" si="144"/>
        <v> Custard Apple</v>
      </c>
      <c r="B276" s="85" t="s">
        <v>616</v>
      </c>
      <c r="C276" s="115"/>
      <c r="D276" s="116" t="str">
        <f t="shared" ref="D276:J276" si="145">B114*$C276*D$172</f>
        <v>  -   </v>
      </c>
      <c r="E276" s="116" t="str">
        <f t="shared" si="145"/>
        <v>  -   </v>
      </c>
      <c r="F276" s="116" t="str">
        <f t="shared" si="145"/>
        <v>  -   </v>
      </c>
      <c r="G276" s="116" t="str">
        <f t="shared" si="145"/>
        <v>  -   </v>
      </c>
      <c r="H276" s="116" t="str">
        <f t="shared" si="145"/>
        <v>  -   </v>
      </c>
      <c r="I276" s="116" t="str">
        <f t="shared" si="145"/>
        <v>  -   </v>
      </c>
      <c r="J276" s="116" t="str">
        <f t="shared" si="145"/>
        <v>  -   </v>
      </c>
      <c r="K276" s="110"/>
      <c r="L276" s="110"/>
    </row>
    <row r="277" ht="15.75" customHeight="1">
      <c r="A277" s="351" t="str">
        <f t="shared" si="144"/>
        <v> Guava</v>
      </c>
      <c r="B277" s="85" t="s">
        <v>616</v>
      </c>
      <c r="C277" s="115"/>
      <c r="D277" s="116" t="str">
        <f t="shared" ref="D277:J277" si="146">B115*$C277*D$172</f>
        <v>  -   </v>
      </c>
      <c r="E277" s="116" t="str">
        <f t="shared" si="146"/>
        <v>  -   </v>
      </c>
      <c r="F277" s="116" t="str">
        <f t="shared" si="146"/>
        <v>  -   </v>
      </c>
      <c r="G277" s="116" t="str">
        <f t="shared" si="146"/>
        <v>  -   </v>
      </c>
      <c r="H277" s="116" t="str">
        <f t="shared" si="146"/>
        <v>  -   </v>
      </c>
      <c r="I277" s="116" t="str">
        <f t="shared" si="146"/>
        <v>  -   </v>
      </c>
      <c r="J277" s="116" t="str">
        <f t="shared" si="146"/>
        <v>  -   </v>
      </c>
      <c r="K277" s="110"/>
      <c r="L277" s="110"/>
    </row>
    <row r="278" ht="15.75" customHeight="1">
      <c r="A278" s="351" t="str">
        <f t="shared" si="144"/>
        <v> Citrus</v>
      </c>
      <c r="B278" s="85" t="s">
        <v>616</v>
      </c>
      <c r="C278" s="115"/>
      <c r="D278" s="116" t="str">
        <f t="shared" ref="D278:J278" si="147">B116*$C278*D$172</f>
        <v>  -   </v>
      </c>
      <c r="E278" s="116" t="str">
        <f t="shared" si="147"/>
        <v>  -   </v>
      </c>
      <c r="F278" s="116" t="str">
        <f t="shared" si="147"/>
        <v>  -   </v>
      </c>
      <c r="G278" s="116" t="str">
        <f t="shared" si="147"/>
        <v>  -   </v>
      </c>
      <c r="H278" s="116" t="str">
        <f t="shared" si="147"/>
        <v>  -   </v>
      </c>
      <c r="I278" s="116" t="str">
        <f t="shared" si="147"/>
        <v>  -   </v>
      </c>
      <c r="J278" s="116" t="str">
        <f t="shared" si="147"/>
        <v>  -   </v>
      </c>
      <c r="K278" s="110"/>
      <c r="L278" s="110"/>
    </row>
    <row r="279" ht="15.75" customHeight="1">
      <c r="A279" s="85" t="str">
        <f t="shared" si="144"/>
        <v/>
      </c>
      <c r="B279" s="85" t="s">
        <v>616</v>
      </c>
      <c r="C279" s="115"/>
      <c r="D279" s="116" t="str">
        <f t="shared" ref="D279:J279" si="148">B117*$C279*D$172</f>
        <v>  -   </v>
      </c>
      <c r="E279" s="116" t="str">
        <f t="shared" si="148"/>
        <v>  -   </v>
      </c>
      <c r="F279" s="116" t="str">
        <f t="shared" si="148"/>
        <v>  -   </v>
      </c>
      <c r="G279" s="116" t="str">
        <f t="shared" si="148"/>
        <v>  -   </v>
      </c>
      <c r="H279" s="116" t="str">
        <f t="shared" si="148"/>
        <v>  -   </v>
      </c>
      <c r="I279" s="116" t="str">
        <f t="shared" si="148"/>
        <v>  -   </v>
      </c>
      <c r="J279" s="116" t="str">
        <f t="shared" si="148"/>
        <v>  -   </v>
      </c>
      <c r="K279" s="110"/>
      <c r="L279" s="110"/>
    </row>
    <row r="280" ht="15.75" customHeight="1">
      <c r="A280" s="85" t="str">
        <f>A230</f>
        <v/>
      </c>
      <c r="B280" s="85"/>
      <c r="C280" s="115"/>
      <c r="D280" s="116" t="str">
        <f t="shared" ref="D280:J280" si="149">B118*$C280*D$172</f>
        <v>  -   </v>
      </c>
      <c r="E280" s="116" t="str">
        <f t="shared" si="149"/>
        <v>  -   </v>
      </c>
      <c r="F280" s="116" t="str">
        <f t="shared" si="149"/>
        <v>  -   </v>
      </c>
      <c r="G280" s="116" t="str">
        <f t="shared" si="149"/>
        <v>  -   </v>
      </c>
      <c r="H280" s="116" t="str">
        <f t="shared" si="149"/>
        <v>  -   </v>
      </c>
      <c r="I280" s="116" t="str">
        <f t="shared" si="149"/>
        <v>  -   </v>
      </c>
      <c r="J280" s="116" t="str">
        <f t="shared" si="149"/>
        <v>  -   </v>
      </c>
      <c r="K280" s="110"/>
      <c r="L280" s="110"/>
    </row>
    <row r="281" ht="15.75" customHeight="1">
      <c r="A281" s="85"/>
      <c r="B281" s="85"/>
      <c r="C281" s="115"/>
      <c r="D281" s="116"/>
      <c r="E281" s="116"/>
      <c r="F281" s="116"/>
      <c r="G281" s="116"/>
      <c r="H281" s="116"/>
      <c r="I281" s="116"/>
      <c r="J281" s="116"/>
      <c r="K281" s="110"/>
      <c r="L281" s="110"/>
    </row>
    <row r="282" ht="15.75" customHeight="1">
      <c r="A282" s="85" t="s">
        <v>619</v>
      </c>
      <c r="B282" s="72">
        <v>5.0</v>
      </c>
      <c r="C282" s="72">
        <v>30.0</v>
      </c>
      <c r="D282" s="116" t="str">
        <f t="shared" ref="D282:J282" si="150">B10*$B$282*$C$282*D172</f>
        <v>  13,374 </v>
      </c>
      <c r="E282" s="116" t="str">
        <f t="shared" si="150"/>
        <v>  16,383 </v>
      </c>
      <c r="F282" s="116" t="str">
        <f t="shared" si="150"/>
        <v>  19,660 </v>
      </c>
      <c r="G282" s="116" t="str">
        <f t="shared" si="150"/>
        <v>  23,223 </v>
      </c>
      <c r="H282" s="116" t="str">
        <f t="shared" si="150"/>
        <v>  27,094 </v>
      </c>
      <c r="I282" s="116" t="str">
        <f t="shared" si="150"/>
        <v>  31,293 </v>
      </c>
      <c r="J282" s="116" t="str">
        <f t="shared" si="150"/>
        <v>  35,845 </v>
      </c>
      <c r="K282" s="110"/>
      <c r="L282" s="110"/>
    </row>
    <row r="283" ht="15.75" customHeight="1">
      <c r="A283" s="85" t="s">
        <v>620</v>
      </c>
      <c r="B283" s="85" t="str">
        <f>'2.Capex Details'!H62*0.746*8</f>
        <v>0</v>
      </c>
      <c r="C283" s="72">
        <v>6.0</v>
      </c>
      <c r="D283" s="116" t="str">
        <f t="shared" ref="D283:J283" si="151">$B$283*$C$283*D172*B10</f>
        <v>  -   </v>
      </c>
      <c r="E283" s="116" t="str">
        <f t="shared" si="151"/>
        <v>  -   </v>
      </c>
      <c r="F283" s="116" t="str">
        <f t="shared" si="151"/>
        <v>  -   </v>
      </c>
      <c r="G283" s="116" t="str">
        <f t="shared" si="151"/>
        <v>  -   </v>
      </c>
      <c r="H283" s="116" t="str">
        <f t="shared" si="151"/>
        <v>  -   </v>
      </c>
      <c r="I283" s="116" t="str">
        <f t="shared" si="151"/>
        <v>  -   </v>
      </c>
      <c r="J283" s="116" t="str">
        <f t="shared" si="151"/>
        <v>  -   </v>
      </c>
      <c r="K283" s="110"/>
      <c r="L283" s="110"/>
    </row>
    <row r="284" ht="15.75" customHeight="1">
      <c r="A284" s="85" t="s">
        <v>621</v>
      </c>
      <c r="B284" s="85"/>
      <c r="C284" s="72">
        <v>30.0</v>
      </c>
      <c r="D284" s="116" t="str">
        <f t="shared" ref="D284:J284" si="152">SUM(B120:B141)*$C$284*D172</f>
        <v>  747,236 </v>
      </c>
      <c r="E284" s="116" t="str">
        <f t="shared" si="152"/>
        <v>  915,364 </v>
      </c>
      <c r="F284" s="116" t="str">
        <f t="shared" si="152"/>
        <v>  1,098,437 </v>
      </c>
      <c r="G284" s="116" t="str">
        <f t="shared" si="152"/>
        <v>  1,297,529 </v>
      </c>
      <c r="H284" s="116" t="str">
        <f t="shared" si="152"/>
        <v>  1,513,784 </v>
      </c>
      <c r="I284" s="116" t="str">
        <f t="shared" si="152"/>
        <v>  1,748,420 </v>
      </c>
      <c r="J284" s="116" t="str">
        <f t="shared" si="152"/>
        <v>  2,002,736 </v>
      </c>
      <c r="K284" s="110"/>
      <c r="L284" s="110"/>
    </row>
    <row r="285" ht="15.75" customHeight="1">
      <c r="A285" s="85" t="s">
        <v>622</v>
      </c>
      <c r="B285" s="85"/>
      <c r="C285" s="72">
        <v>30.0</v>
      </c>
      <c r="D285" s="116" t="str">
        <f t="shared" ref="D285:J285" si="153">SUM(B120:B141)*$C$285*D172</f>
        <v>  747,236 </v>
      </c>
      <c r="E285" s="116" t="str">
        <f t="shared" si="153"/>
        <v>  915,364 </v>
      </c>
      <c r="F285" s="116" t="str">
        <f t="shared" si="153"/>
        <v>  1,098,437 </v>
      </c>
      <c r="G285" s="116" t="str">
        <f t="shared" si="153"/>
        <v>  1,297,529 </v>
      </c>
      <c r="H285" s="116" t="str">
        <f t="shared" si="153"/>
        <v>  1,513,784 </v>
      </c>
      <c r="I285" s="116" t="str">
        <f t="shared" si="153"/>
        <v>  1,748,420 </v>
      </c>
      <c r="J285" s="116" t="str">
        <f t="shared" si="153"/>
        <v>  2,002,736 </v>
      </c>
      <c r="K285" s="110"/>
      <c r="L285" s="110"/>
    </row>
    <row r="286" ht="15.75" customHeight="1">
      <c r="A286" s="189"/>
      <c r="B286" s="189"/>
      <c r="C286" s="189"/>
      <c r="D286" s="189"/>
      <c r="E286" s="189"/>
      <c r="F286" s="189"/>
      <c r="G286" s="189"/>
      <c r="H286" s="189"/>
      <c r="I286" s="189"/>
      <c r="J286" s="189"/>
      <c r="K286" s="110"/>
      <c r="L286" s="110"/>
    </row>
    <row r="287" ht="15.75" customHeight="1">
      <c r="A287" s="189"/>
      <c r="B287" s="189"/>
      <c r="C287" s="189"/>
      <c r="D287" s="189"/>
      <c r="E287" s="189"/>
      <c r="F287" s="189"/>
      <c r="G287" s="189"/>
      <c r="H287" s="189"/>
      <c r="I287" s="189"/>
      <c r="J287" s="189"/>
      <c r="K287" s="110"/>
      <c r="L287" s="110"/>
    </row>
    <row r="288" ht="15.75" customHeight="1">
      <c r="A288" s="189"/>
      <c r="B288" s="189"/>
      <c r="C288" s="189"/>
      <c r="D288" s="189"/>
      <c r="E288" s="189"/>
      <c r="F288" s="189"/>
      <c r="G288" s="189"/>
      <c r="H288" s="189"/>
      <c r="I288" s="189"/>
      <c r="J288" s="189"/>
      <c r="K288" s="110"/>
      <c r="L288" s="110"/>
    </row>
    <row r="289" ht="15.75" customHeight="1">
      <c r="A289" s="85" t="s">
        <v>623</v>
      </c>
      <c r="B289" s="85"/>
      <c r="C289" s="85"/>
      <c r="D289" s="351"/>
      <c r="E289" s="351" t="str">
        <f>'5.Closing Stock &amp; W Capital'!F6</f>
        <v>  38,923,784 </v>
      </c>
      <c r="F289" s="351" t="str">
        <f>'5.Closing Stock &amp; W Capital'!G6</f>
        <v>  47,681,635 </v>
      </c>
      <c r="G289" s="351" t="str">
        <f>'5.Closing Stock &amp; W Capital'!H6</f>
        <v>  57,217,962 </v>
      </c>
      <c r="H289" s="351" t="str">
        <f>'5.Closing Stock &amp; W Capital'!I6</f>
        <v>  67,588,718 </v>
      </c>
      <c r="I289" s="351" t="str">
        <f>'5.Closing Stock &amp; W Capital'!J6</f>
        <v>  78,853,504 </v>
      </c>
      <c r="J289" s="351" t="str">
        <f>'5.Closing Stock &amp; W Capital'!K6</f>
        <v>  91,075,798 </v>
      </c>
      <c r="K289" s="110"/>
      <c r="L289" s="110"/>
    </row>
    <row r="290" ht="15.75" customHeight="1">
      <c r="A290" s="85" t="s">
        <v>624</v>
      </c>
      <c r="B290" s="85"/>
      <c r="C290" s="351"/>
      <c r="D290" s="351" t="str">
        <f>'5.Closing Stock &amp; W Capital'!E15</f>
        <v>  38,923,784 </v>
      </c>
      <c r="E290" s="351" t="str">
        <f>'5.Closing Stock &amp; W Capital'!F15</f>
        <v>  47,681,635 </v>
      </c>
      <c r="F290" s="351" t="str">
        <f>'5.Closing Stock &amp; W Capital'!G15</f>
        <v>  57,217,962 </v>
      </c>
      <c r="G290" s="351" t="str">
        <f>'5.Closing Stock &amp; W Capital'!H15</f>
        <v>  67,588,718 </v>
      </c>
      <c r="H290" s="351" t="str">
        <f>'5.Closing Stock &amp; W Capital'!I15</f>
        <v>  78,853,504 </v>
      </c>
      <c r="I290" s="351" t="str">
        <f>'5.Closing Stock &amp; W Capital'!J15</f>
        <v>  91,075,798 </v>
      </c>
      <c r="J290" s="351" t="str">
        <f>'5.Closing Stock &amp; W Capital'!K15</f>
        <v>  104,323,186 </v>
      </c>
      <c r="K290" s="110"/>
      <c r="L290" s="110"/>
    </row>
    <row r="291" ht="15.75" customHeight="1">
      <c r="A291" s="85"/>
      <c r="B291" s="85"/>
      <c r="C291" s="116"/>
      <c r="D291" s="351"/>
      <c r="E291" s="351"/>
      <c r="F291" s="351"/>
      <c r="G291" s="351"/>
      <c r="H291" s="351"/>
      <c r="I291" s="351"/>
      <c r="J291" s="351"/>
      <c r="K291" s="110"/>
      <c r="L291" s="110"/>
      <c r="M291" s="110"/>
      <c r="N291" s="110"/>
      <c r="O291" s="110"/>
      <c r="P291" s="110"/>
      <c r="Q291" s="110"/>
      <c r="R291" s="110"/>
      <c r="S291" s="110"/>
      <c r="T291" s="110"/>
    </row>
    <row r="292" ht="15.75" customHeight="1">
      <c r="A292" s="117" t="s">
        <v>386</v>
      </c>
      <c r="B292" s="117"/>
      <c r="C292" s="117"/>
      <c r="D292" s="118" t="str">
        <f t="shared" ref="D292:J292" si="154">SUM(D233:D289)-D290</f>
        <v>  59,132,912 </v>
      </c>
      <c r="E292" s="118" t="str">
        <f t="shared" si="154"/>
        <v>  111,361,601 </v>
      </c>
      <c r="F292" s="118" t="str">
        <f t="shared" si="154"/>
        <v>  134,607,016 </v>
      </c>
      <c r="G292" s="118" t="str">
        <f t="shared" si="154"/>
        <v>  159,898,569 </v>
      </c>
      <c r="H292" s="118" t="str">
        <f t="shared" si="154"/>
        <v>  187,382,759 </v>
      </c>
      <c r="I292" s="118" t="str">
        <f t="shared" si="154"/>
        <v>  217,215,621 </v>
      </c>
      <c r="J292" s="118" t="str">
        <f t="shared" si="154"/>
        <v>  249,563,313 </v>
      </c>
      <c r="K292" s="110"/>
      <c r="L292" s="110"/>
      <c r="M292" s="110"/>
      <c r="N292" s="110"/>
      <c r="O292" s="110"/>
      <c r="P292" s="110"/>
      <c r="Q292" s="110"/>
      <c r="R292" s="110"/>
      <c r="S292" s="110"/>
      <c r="T292" s="110"/>
    </row>
    <row r="293" ht="15.75" customHeight="1">
      <c r="A293" s="117" t="s">
        <v>387</v>
      </c>
      <c r="B293" s="85"/>
      <c r="C293" s="85"/>
      <c r="D293" s="274"/>
      <c r="E293" s="274"/>
      <c r="F293" s="274"/>
      <c r="G293" s="274"/>
      <c r="H293" s="274"/>
      <c r="I293" s="85"/>
      <c r="J293" s="85"/>
      <c r="K293" s="110"/>
      <c r="L293" s="110"/>
      <c r="M293" s="110"/>
      <c r="N293" s="110"/>
      <c r="O293" s="110"/>
      <c r="P293" s="110"/>
      <c r="Q293" s="110"/>
      <c r="R293" s="110"/>
      <c r="S293" s="110"/>
      <c r="T293" s="110"/>
    </row>
    <row r="294" ht="15.75" customHeight="1">
      <c r="A294" s="85" t="s">
        <v>625</v>
      </c>
      <c r="B294" s="72">
        <v>10.0</v>
      </c>
      <c r="C294" s="115">
        <v>15000.0</v>
      </c>
      <c r="D294" s="116" t="str">
        <f t="shared" ref="D294:J294" si="155">$B$294*$C$294*12*D172</f>
        <v>  1,800,000 </v>
      </c>
      <c r="E294" s="116" t="str">
        <f t="shared" si="155"/>
        <v>  1,890,000 </v>
      </c>
      <c r="F294" s="116" t="str">
        <f t="shared" si="155"/>
        <v>  1,984,500 </v>
      </c>
      <c r="G294" s="116" t="str">
        <f t="shared" si="155"/>
        <v>  2,083,725 </v>
      </c>
      <c r="H294" s="116" t="str">
        <f t="shared" si="155"/>
        <v>  2,187,911 </v>
      </c>
      <c r="I294" s="116" t="str">
        <f t="shared" si="155"/>
        <v>  2,297,307 </v>
      </c>
      <c r="J294" s="116" t="str">
        <f t="shared" si="155"/>
        <v>  2,412,172 </v>
      </c>
      <c r="K294" s="110"/>
      <c r="L294" s="110"/>
      <c r="M294" s="110"/>
      <c r="N294" s="110"/>
      <c r="O294" s="110"/>
      <c r="P294" s="110"/>
      <c r="Q294" s="110"/>
      <c r="R294" s="110"/>
      <c r="S294" s="110"/>
      <c r="T294" s="110"/>
    </row>
    <row r="295" ht="15.75" customHeight="1">
      <c r="A295" s="85"/>
      <c r="B295" s="72"/>
      <c r="C295" s="115"/>
      <c r="D295" s="116"/>
      <c r="E295" s="116"/>
      <c r="F295" s="116"/>
      <c r="G295" s="116"/>
      <c r="H295" s="116"/>
      <c r="I295" s="116"/>
      <c r="J295" s="116"/>
      <c r="K295" s="110"/>
      <c r="L295" s="110"/>
      <c r="M295" s="110"/>
      <c r="N295" s="357"/>
      <c r="O295" s="110"/>
      <c r="P295" s="110"/>
      <c r="Q295" s="110"/>
      <c r="R295" s="110"/>
      <c r="S295" s="110"/>
      <c r="T295" s="110"/>
    </row>
    <row r="296" ht="15.75" customHeight="1">
      <c r="A296" s="85"/>
      <c r="B296" s="72"/>
      <c r="C296" s="115"/>
      <c r="D296" s="116"/>
      <c r="E296" s="116"/>
      <c r="F296" s="116"/>
      <c r="G296" s="116"/>
      <c r="H296" s="116"/>
      <c r="I296" s="116"/>
      <c r="J296" s="116"/>
      <c r="K296" s="110"/>
      <c r="L296" s="110"/>
      <c r="M296" s="110"/>
      <c r="N296" s="110"/>
      <c r="O296" s="110"/>
      <c r="P296" s="110"/>
      <c r="Q296" s="110"/>
      <c r="R296" s="110"/>
      <c r="S296" s="110"/>
      <c r="T296" s="110"/>
    </row>
    <row r="297" ht="15.75" customHeight="1">
      <c r="A297" s="85"/>
      <c r="B297" s="72"/>
      <c r="C297" s="115"/>
      <c r="D297" s="116"/>
      <c r="E297" s="116"/>
      <c r="F297" s="116"/>
      <c r="G297" s="116"/>
      <c r="H297" s="116"/>
      <c r="I297" s="116"/>
      <c r="J297" s="116"/>
      <c r="K297" s="110"/>
      <c r="L297" s="110"/>
      <c r="M297" s="110"/>
      <c r="N297" s="110"/>
      <c r="O297" s="110"/>
      <c r="P297" s="110"/>
      <c r="Q297" s="110"/>
      <c r="R297" s="110"/>
      <c r="S297" s="110"/>
      <c r="T297" s="110"/>
    </row>
    <row r="298" ht="15.75" customHeight="1">
      <c r="A298" s="85"/>
      <c r="B298" s="72"/>
      <c r="C298" s="115"/>
      <c r="D298" s="116"/>
      <c r="E298" s="116"/>
      <c r="F298" s="116"/>
      <c r="G298" s="116"/>
      <c r="H298" s="116"/>
      <c r="I298" s="116"/>
      <c r="J298" s="116"/>
      <c r="K298" s="110"/>
      <c r="L298" s="110"/>
      <c r="M298" s="110"/>
      <c r="N298" s="110"/>
      <c r="O298" s="110"/>
      <c r="P298" s="110"/>
      <c r="Q298" s="110"/>
      <c r="R298" s="110"/>
      <c r="S298" s="110"/>
      <c r="T298" s="110"/>
    </row>
    <row r="299" ht="15.75" customHeight="1">
      <c r="A299" s="85"/>
      <c r="B299" s="72"/>
      <c r="C299" s="115"/>
      <c r="D299" s="116"/>
      <c r="E299" s="116"/>
      <c r="F299" s="116"/>
      <c r="G299" s="116"/>
      <c r="H299" s="116"/>
      <c r="I299" s="116"/>
      <c r="J299" s="116"/>
      <c r="K299" s="110"/>
      <c r="L299" s="110"/>
      <c r="M299" s="110"/>
      <c r="N299" s="110"/>
      <c r="O299" s="110"/>
      <c r="P299" s="110"/>
      <c r="Q299" s="110"/>
      <c r="R299" s="110"/>
      <c r="S299" s="110"/>
      <c r="T299" s="110"/>
    </row>
    <row r="300" ht="15.75" customHeight="1">
      <c r="A300" s="85"/>
      <c r="B300" s="72"/>
      <c r="C300" s="115"/>
      <c r="D300" s="116"/>
      <c r="E300" s="116"/>
      <c r="F300" s="116"/>
      <c r="G300" s="116"/>
      <c r="H300" s="116"/>
      <c r="I300" s="116"/>
      <c r="J300" s="116"/>
      <c r="K300" s="110"/>
      <c r="L300" s="110"/>
      <c r="M300" s="110"/>
      <c r="N300" s="110"/>
      <c r="O300" s="110"/>
      <c r="P300" s="110"/>
      <c r="Q300" s="110"/>
      <c r="R300" s="110"/>
      <c r="S300" s="110"/>
      <c r="T300" s="110"/>
    </row>
    <row r="301" ht="15.75" customHeight="1">
      <c r="A301" s="117" t="s">
        <v>389</v>
      </c>
      <c r="B301" s="77"/>
      <c r="C301" s="77"/>
      <c r="D301" s="118" t="str">
        <f t="shared" ref="D301:J301" si="156">SUM(D294:D300)</f>
        <v>  1,800,000 </v>
      </c>
      <c r="E301" s="118" t="str">
        <f t="shared" si="156"/>
        <v>  1,890,000 </v>
      </c>
      <c r="F301" s="118" t="str">
        <f t="shared" si="156"/>
        <v>  1,984,500 </v>
      </c>
      <c r="G301" s="118" t="str">
        <f t="shared" si="156"/>
        <v>  2,083,725 </v>
      </c>
      <c r="H301" s="118" t="str">
        <f t="shared" si="156"/>
        <v>  2,187,911 </v>
      </c>
      <c r="I301" s="118" t="str">
        <f t="shared" si="156"/>
        <v>  2,297,307 </v>
      </c>
      <c r="J301" s="118" t="str">
        <f t="shared" si="156"/>
        <v>  2,412,172 </v>
      </c>
      <c r="K301" s="110"/>
      <c r="L301" s="110"/>
      <c r="M301" s="110"/>
      <c r="N301" s="357"/>
      <c r="O301" s="110"/>
      <c r="P301" s="110"/>
      <c r="Q301" s="110"/>
      <c r="R301" s="110"/>
      <c r="S301" s="110"/>
      <c r="T301" s="110"/>
    </row>
    <row r="302" ht="15.75" customHeight="1">
      <c r="A302" s="117" t="s">
        <v>626</v>
      </c>
      <c r="B302" s="117"/>
      <c r="C302" s="117"/>
      <c r="D302" s="118" t="str">
        <f t="shared" ref="D302:J302" si="157">D292+D301</f>
        <v>  60,932,912 </v>
      </c>
      <c r="E302" s="118" t="str">
        <f t="shared" si="157"/>
        <v>  113,251,601 </v>
      </c>
      <c r="F302" s="118" t="str">
        <f t="shared" si="157"/>
        <v>  136,591,516 </v>
      </c>
      <c r="G302" s="118" t="str">
        <f t="shared" si="157"/>
        <v>  161,982,294 </v>
      </c>
      <c r="H302" s="118" t="str">
        <f t="shared" si="157"/>
        <v>  189,570,670 </v>
      </c>
      <c r="I302" s="118" t="str">
        <f t="shared" si="157"/>
        <v>  219,512,928 </v>
      </c>
      <c r="J302" s="118" t="str">
        <f t="shared" si="157"/>
        <v>  251,975,485 </v>
      </c>
      <c r="K302" s="110"/>
      <c r="L302" s="110"/>
      <c r="M302" s="110"/>
      <c r="N302" s="110"/>
      <c r="O302" s="110"/>
      <c r="P302" s="110"/>
      <c r="Q302" s="110"/>
      <c r="R302" s="110"/>
      <c r="S302" s="110"/>
      <c r="T302" s="110"/>
    </row>
    <row r="303" ht="15.75" customHeight="1">
      <c r="A303" s="85"/>
      <c r="B303" s="85"/>
      <c r="C303" s="85"/>
      <c r="D303" s="274"/>
      <c r="E303" s="274"/>
      <c r="F303" s="274"/>
      <c r="G303" s="274"/>
      <c r="H303" s="274"/>
      <c r="I303" s="85"/>
      <c r="J303" s="85"/>
      <c r="K303" s="110"/>
      <c r="L303" s="110"/>
      <c r="M303" s="110"/>
      <c r="N303" s="110"/>
      <c r="O303" s="110"/>
      <c r="P303" s="110"/>
      <c r="Q303" s="110"/>
      <c r="R303" s="110"/>
      <c r="S303" s="110"/>
      <c r="T303" s="110"/>
    </row>
    <row r="304" ht="15.75" customHeight="1">
      <c r="A304" s="117"/>
      <c r="B304" s="117"/>
      <c r="C304" s="117"/>
      <c r="D304" s="274"/>
      <c r="E304" s="274"/>
      <c r="F304" s="274"/>
      <c r="G304" s="274"/>
      <c r="H304" s="274"/>
      <c r="I304" s="85"/>
      <c r="J304" s="85"/>
      <c r="K304" s="110"/>
      <c r="L304" s="110"/>
      <c r="M304" s="110"/>
      <c r="N304" s="110"/>
      <c r="O304" s="110"/>
      <c r="P304" s="110"/>
      <c r="Q304" s="110"/>
      <c r="R304" s="110"/>
      <c r="S304" s="110"/>
      <c r="T304" s="110"/>
    </row>
    <row r="305" ht="15.75" customHeight="1">
      <c r="A305" s="117" t="s">
        <v>627</v>
      </c>
      <c r="B305" s="117"/>
      <c r="C305" s="117"/>
      <c r="D305" s="118" t="str">
        <f t="shared" ref="D305:J305" si="158">D229-D302</f>
        <v>  6,563,526 </v>
      </c>
      <c r="E305" s="118" t="str">
        <f t="shared" si="158"/>
        <v>  16,379,464 </v>
      </c>
      <c r="F305" s="118" t="str">
        <f t="shared" si="158"/>
        <v>  20,139,460 </v>
      </c>
      <c r="G305" s="118" t="str">
        <f t="shared" si="158"/>
        <v>  24,234,507 </v>
      </c>
      <c r="H305" s="118" t="str">
        <f t="shared" si="158"/>
        <v>  28,688,711 </v>
      </c>
      <c r="I305" s="118" t="str">
        <f t="shared" si="158"/>
        <v>  33,527,748 </v>
      </c>
      <c r="J305" s="118" t="str">
        <f t="shared" si="158"/>
        <v>  38,778,968 </v>
      </c>
      <c r="K305" s="110"/>
      <c r="L305" s="110"/>
      <c r="M305" s="110"/>
      <c r="N305" s="110"/>
      <c r="O305" s="110"/>
      <c r="P305" s="110"/>
      <c r="Q305" s="110"/>
      <c r="R305" s="110"/>
      <c r="S305" s="110"/>
      <c r="T305" s="110"/>
    </row>
    <row r="306" ht="15.75" customHeight="1">
      <c r="A306" s="110"/>
      <c r="B306" s="110"/>
      <c r="C306" s="110"/>
      <c r="D306" s="110"/>
      <c r="E306" s="110"/>
      <c r="F306" s="110"/>
      <c r="G306" s="110"/>
      <c r="H306" s="110"/>
      <c r="I306" s="110"/>
      <c r="J306" s="110"/>
    </row>
    <row r="307" ht="15.75" customHeight="1">
      <c r="A307" s="110" t="s">
        <v>628</v>
      </c>
      <c r="B307" s="110"/>
      <c r="C307" s="110"/>
      <c r="D307" s="110"/>
      <c r="E307" s="110"/>
      <c r="F307" s="110"/>
      <c r="G307" s="110"/>
      <c r="H307" s="110"/>
      <c r="I307" s="110"/>
      <c r="J307" s="110"/>
    </row>
    <row r="308" ht="15.75" customHeight="1">
      <c r="A308" s="45" t="s">
        <v>629</v>
      </c>
    </row>
    <row r="309" ht="15.75" customHeight="1"/>
    <row r="310" ht="15.75" customHeight="1">
      <c r="A310" t="s">
        <v>338</v>
      </c>
    </row>
    <row r="311" ht="15.75" customHeight="1">
      <c r="A311">
        <v>1.0</v>
      </c>
      <c r="B311" t="s">
        <v>630</v>
      </c>
    </row>
    <row r="312" ht="15.75" customHeight="1">
      <c r="A312">
        <v>2.0</v>
      </c>
      <c r="B312" t="s">
        <v>631</v>
      </c>
    </row>
    <row r="313" ht="15.75" customHeight="1">
      <c r="A313">
        <v>3.0</v>
      </c>
      <c r="B313" s="110" t="s">
        <v>632</v>
      </c>
    </row>
  </sheetData>
  <mergeCells count="5">
    <mergeCell ref="A170:J170"/>
    <mergeCell ref="A2:H2"/>
    <mergeCell ref="A308:J308"/>
    <mergeCell ref="F4:H4"/>
    <mergeCell ref="A3:H3"/>
  </mergeCells>
  <printOptions/>
  <pageMargins bottom="0.7480314960629921" footer="0.0" header="0.0" left="0.7086614173228347" right="0.7086614173228347" top="0.7480314960629921"/>
  <pageSetup paperSize="9" orientation="landscape"/>
  <rowBreaks count="1" manualBreakCount="1">
    <brk id="65" man="1"/>
  </rowBreak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2.43"/>
    <col customWidth="1" min="3" max="3" width="12.0"/>
    <col customWidth="1" min="4" max="4" width="15.14"/>
    <col customWidth="1" min="5" max="8" width="17.29"/>
    <col customWidth="1" min="9" max="10" width="16.86"/>
    <col customWidth="1" min="11" max="11" width="8.71"/>
  </cols>
  <sheetData>
    <row r="3">
      <c r="A3" s="26" t="s">
        <v>633</v>
      </c>
    </row>
    <row r="4">
      <c r="A4" s="26" t="s">
        <v>634</v>
      </c>
    </row>
    <row r="5">
      <c r="A5" s="110" t="s">
        <v>139</v>
      </c>
      <c r="B5" s="344" t="str">
        <f>6000/100</f>
        <v>60</v>
      </c>
      <c r="C5" s="110" t="s">
        <v>635</v>
      </c>
      <c r="D5" s="110" t="s">
        <v>636</v>
      </c>
      <c r="E5" s="110"/>
      <c r="F5" s="110"/>
      <c r="G5" s="110"/>
      <c r="H5" s="110"/>
    </row>
    <row r="6">
      <c r="A6" s="110" t="s">
        <v>603</v>
      </c>
      <c r="B6" s="167">
        <v>8.0</v>
      </c>
      <c r="C6" s="110"/>
      <c r="D6" s="110"/>
      <c r="E6" s="110"/>
      <c r="F6" s="110"/>
      <c r="G6" s="110"/>
      <c r="H6" s="110"/>
    </row>
    <row r="7">
      <c r="A7" s="110"/>
      <c r="B7" s="167"/>
      <c r="C7" s="110"/>
      <c r="D7" s="110"/>
      <c r="E7" s="110"/>
      <c r="F7" s="110"/>
      <c r="G7" s="110"/>
      <c r="H7" s="110"/>
    </row>
    <row r="8">
      <c r="A8" s="110"/>
      <c r="B8" s="167"/>
      <c r="C8" s="110"/>
      <c r="D8" s="110"/>
      <c r="E8" s="110"/>
      <c r="F8" s="110"/>
      <c r="G8" s="110"/>
      <c r="H8" s="110"/>
    </row>
    <row r="9">
      <c r="A9" s="110"/>
      <c r="B9" s="110"/>
      <c r="C9" s="110"/>
      <c r="D9" s="110"/>
      <c r="E9" s="110"/>
      <c r="F9" s="110"/>
      <c r="G9" s="110"/>
      <c r="H9" s="110"/>
    </row>
    <row r="10">
      <c r="A10" s="110"/>
      <c r="B10" s="110"/>
      <c r="C10" s="110"/>
      <c r="D10" s="110"/>
      <c r="E10" s="110"/>
      <c r="F10" s="110"/>
      <c r="G10" s="110"/>
      <c r="H10" s="110"/>
    </row>
    <row r="11">
      <c r="A11" s="176" t="s">
        <v>174</v>
      </c>
      <c r="B11" s="177" t="s">
        <v>177</v>
      </c>
      <c r="C11" s="177" t="s">
        <v>178</v>
      </c>
      <c r="D11" s="177" t="s">
        <v>179</v>
      </c>
      <c r="E11" s="177" t="s">
        <v>180</v>
      </c>
      <c r="F11" s="177" t="s">
        <v>181</v>
      </c>
      <c r="G11" s="177" t="s">
        <v>182</v>
      </c>
      <c r="H11" s="177" t="s">
        <v>183</v>
      </c>
    </row>
    <row r="12">
      <c r="A12" s="85" t="s">
        <v>637</v>
      </c>
      <c r="B12" s="358" t="str">
        <f t="shared" ref="B12:H12" si="1">B32/($B$5*$B$6)</f>
        <v>14</v>
      </c>
      <c r="C12" s="358" t="str">
        <f t="shared" si="1"/>
        <v>21</v>
      </c>
      <c r="D12" s="358" t="str">
        <f t="shared" si="1"/>
        <v>28</v>
      </c>
      <c r="E12" s="358" t="str">
        <f t="shared" si="1"/>
        <v>36</v>
      </c>
      <c r="F12" s="358" t="str">
        <f t="shared" si="1"/>
        <v>43</v>
      </c>
      <c r="G12" s="358" t="str">
        <f t="shared" si="1"/>
        <v>50</v>
      </c>
      <c r="H12" s="358" t="str">
        <f t="shared" si="1"/>
        <v>57</v>
      </c>
    </row>
    <row r="13">
      <c r="A13" s="85" t="str">
        <f>'10.Grain Production details'!A67</f>
        <v>Soybean</v>
      </c>
      <c r="B13" s="85" t="str">
        <f>'10.Grain Production details'!B67</f>
        <v>0</v>
      </c>
      <c r="C13" s="85" t="str">
        <f>'10.Grain Production details'!C67</f>
        <v>0</v>
      </c>
      <c r="D13" s="85" t="str">
        <f>'10.Grain Production details'!D67</f>
        <v>0</v>
      </c>
      <c r="E13" s="85" t="str">
        <f>'10.Grain Production details'!E67</f>
        <v>0</v>
      </c>
      <c r="F13" s="85" t="str">
        <f>'10.Grain Production details'!F67</f>
        <v>0</v>
      </c>
      <c r="G13" s="85" t="str">
        <f>'10.Grain Production details'!G67</f>
        <v>0</v>
      </c>
      <c r="H13" s="85" t="str">
        <f>'10.Grain Production details'!H67</f>
        <v>0</v>
      </c>
    </row>
    <row r="14">
      <c r="A14" s="85" t="str">
        <f>'10.Grain Production details'!A68</f>
        <v>Redgram</v>
      </c>
      <c r="B14" s="85" t="str">
        <f>'10.Grain Production details'!B68</f>
        <v>419.3775</v>
      </c>
      <c r="C14" s="85" t="str">
        <f>'10.Grain Production details'!C68</f>
        <v>629.06625</v>
      </c>
      <c r="D14" s="85" t="str">
        <f>'10.Grain Production details'!D68</f>
        <v>838.755</v>
      </c>
      <c r="E14" s="85" t="str">
        <f>'10.Grain Production details'!E68</f>
        <v>1048.44375</v>
      </c>
      <c r="F14" s="85" t="str">
        <f>'10.Grain Production details'!F68</f>
        <v>1258.1325</v>
      </c>
      <c r="G14" s="85" t="str">
        <f>'10.Grain Production details'!G68</f>
        <v>1467.82125</v>
      </c>
      <c r="H14" s="85" t="str">
        <f>'10.Grain Production details'!H68</f>
        <v>1677.51</v>
      </c>
    </row>
    <row r="15">
      <c r="A15" s="85" t="str">
        <f>'10.Grain Production details'!A69</f>
        <v>Turmeric</v>
      </c>
      <c r="B15" s="85" t="str">
        <f>'10.Grain Production details'!B69</f>
        <v>882.9</v>
      </c>
      <c r="C15" s="85" t="str">
        <f>'10.Grain Production details'!C69</f>
        <v>1324.35</v>
      </c>
      <c r="D15" s="85" t="str">
        <f>'10.Grain Production details'!D69</f>
        <v>1765.8</v>
      </c>
      <c r="E15" s="85" t="str">
        <f>'10.Grain Production details'!E69</f>
        <v>2207.25</v>
      </c>
      <c r="F15" s="85" t="str">
        <f>'10.Grain Production details'!F69</f>
        <v>2648.7</v>
      </c>
      <c r="G15" s="85" t="str">
        <f>'10.Grain Production details'!G69</f>
        <v>3090.15</v>
      </c>
      <c r="H15" s="85" t="str">
        <f>'10.Grain Production details'!H69</f>
        <v>3531.6</v>
      </c>
    </row>
    <row r="16">
      <c r="A16" s="85" t="str">
        <f>'10.Grain Production details'!A70</f>
        <v>Bengalgram</v>
      </c>
      <c r="B16" s="85" t="str">
        <f>'10.Grain Production details'!B70</f>
        <v>305.92485</v>
      </c>
      <c r="C16" s="85" t="str">
        <f>'10.Grain Production details'!C70</f>
        <v>458.887275</v>
      </c>
      <c r="D16" s="85" t="str">
        <f>'10.Grain Production details'!D70</f>
        <v>611.8497</v>
      </c>
      <c r="E16" s="85" t="str">
        <f>'10.Grain Production details'!E70</f>
        <v>764.812125</v>
      </c>
      <c r="F16" s="85" t="str">
        <f>'10.Grain Production details'!F70</f>
        <v>917.77455</v>
      </c>
      <c r="G16" s="85" t="str">
        <f>'10.Grain Production details'!G70</f>
        <v>1070.736975</v>
      </c>
      <c r="H16" s="85" t="str">
        <f>'10.Grain Production details'!H70</f>
        <v>1223.6994</v>
      </c>
    </row>
    <row r="17">
      <c r="A17" s="85" t="str">
        <f>'10.Grain Production details'!A71</f>
        <v>Channa</v>
      </c>
      <c r="B17" s="85" t="str">
        <f>'10.Grain Production details'!B71</f>
        <v>0</v>
      </c>
      <c r="C17" s="85" t="str">
        <f>'10.Grain Production details'!C71</f>
        <v>0</v>
      </c>
      <c r="D17" s="85" t="str">
        <f>'10.Grain Production details'!D71</f>
        <v>0</v>
      </c>
      <c r="E17" s="85" t="str">
        <f>'10.Grain Production details'!E71</f>
        <v>0</v>
      </c>
      <c r="F17" s="85" t="str">
        <f>'10.Grain Production details'!F71</f>
        <v>0</v>
      </c>
      <c r="G17" s="85" t="str">
        <f>'10.Grain Production details'!G71</f>
        <v>0</v>
      </c>
      <c r="H17" s="85" t="str">
        <f>'10.Grain Production details'!H71</f>
        <v>0</v>
      </c>
    </row>
    <row r="18">
      <c r="A18" s="85" t="str">
        <f>'10.Grain Production details'!A72</f>
        <v>Udid</v>
      </c>
      <c r="B18" s="85" t="str">
        <f>'10.Grain Production details'!B72</f>
        <v>0</v>
      </c>
      <c r="C18" s="85" t="str">
        <f>'10.Grain Production details'!C72</f>
        <v>0</v>
      </c>
      <c r="D18" s="85" t="str">
        <f>'10.Grain Production details'!D72</f>
        <v>0</v>
      </c>
      <c r="E18" s="85" t="str">
        <f>'10.Grain Production details'!E72</f>
        <v>0</v>
      </c>
      <c r="F18" s="85" t="str">
        <f>'10.Grain Production details'!F72</f>
        <v>0</v>
      </c>
      <c r="G18" s="85" t="str">
        <f>'10.Grain Production details'!G72</f>
        <v>0</v>
      </c>
      <c r="H18" s="85" t="str">
        <f>'10.Grain Production details'!H72</f>
        <v>0</v>
      </c>
    </row>
    <row r="19">
      <c r="A19" s="85" t="str">
        <f>'10.Grain Production details'!A73</f>
        <v>Bajra</v>
      </c>
      <c r="B19" s="85" t="str">
        <f>'10.Grain Production details'!B73</f>
        <v>0</v>
      </c>
      <c r="C19" s="85" t="str">
        <f>'10.Grain Production details'!C73</f>
        <v>0</v>
      </c>
      <c r="D19" s="85" t="str">
        <f>'10.Grain Production details'!D73</f>
        <v>0</v>
      </c>
      <c r="E19" s="85" t="str">
        <f>'10.Grain Production details'!E73</f>
        <v>0</v>
      </c>
      <c r="F19" s="85" t="str">
        <f>'10.Grain Production details'!F73</f>
        <v>0</v>
      </c>
      <c r="G19" s="85" t="str">
        <f>'10.Grain Production details'!G73</f>
        <v>0</v>
      </c>
      <c r="H19" s="85" t="str">
        <f>'10.Grain Production details'!H73</f>
        <v>0</v>
      </c>
    </row>
    <row r="20">
      <c r="A20" s="85" t="str">
        <f>'10.Grain Production details'!A74</f>
        <v>Jawar</v>
      </c>
      <c r="B20" s="85" t="str">
        <f>'10.Grain Production details'!B74</f>
        <v>0</v>
      </c>
      <c r="C20" s="85" t="str">
        <f>'10.Grain Production details'!C74</f>
        <v>0</v>
      </c>
      <c r="D20" s="85" t="str">
        <f>'10.Grain Production details'!D74</f>
        <v>0</v>
      </c>
      <c r="E20" s="85" t="str">
        <f>'10.Grain Production details'!E74</f>
        <v>0</v>
      </c>
      <c r="F20" s="85" t="str">
        <f>'10.Grain Production details'!F74</f>
        <v>0</v>
      </c>
      <c r="G20" s="85" t="str">
        <f>'10.Grain Production details'!G74</f>
        <v>0</v>
      </c>
      <c r="H20" s="85" t="str">
        <f>'10.Grain Production details'!H74</f>
        <v>0</v>
      </c>
    </row>
    <row r="21" ht="15.75" customHeight="1">
      <c r="A21" s="85" t="str">
        <f>'10.Grain Production details'!A75</f>
        <v/>
      </c>
      <c r="B21" s="85" t="str">
        <f>'10.Grain Production details'!B75</f>
        <v>0</v>
      </c>
      <c r="C21" s="85" t="str">
        <f>'10.Grain Production details'!C75</f>
        <v>0</v>
      </c>
      <c r="D21" s="85" t="str">
        <f>'10.Grain Production details'!D75</f>
        <v>0</v>
      </c>
      <c r="E21" s="85" t="str">
        <f>'10.Grain Production details'!E75</f>
        <v>0</v>
      </c>
      <c r="F21" s="85" t="str">
        <f>'10.Grain Production details'!F75</f>
        <v>0</v>
      </c>
      <c r="G21" s="85" t="str">
        <f>'10.Grain Production details'!G75</f>
        <v>0</v>
      </c>
      <c r="H21" s="85" t="str">
        <f>'10.Grain Production details'!H75</f>
        <v>0</v>
      </c>
    </row>
    <row r="22" ht="15.75" customHeight="1">
      <c r="A22" s="85" t="str">
        <f>'10.Grain Production details'!A76</f>
        <v>Wheat</v>
      </c>
      <c r="B22" s="85" t="str">
        <f>'10.Grain Production details'!B76</f>
        <v>1132.31925</v>
      </c>
      <c r="C22" s="85" t="str">
        <f>'10.Grain Production details'!C76</f>
        <v>1698.478875</v>
      </c>
      <c r="D22" s="85" t="str">
        <f>'10.Grain Production details'!D76</f>
        <v>2264.6385</v>
      </c>
      <c r="E22" s="85" t="str">
        <f>'10.Grain Production details'!E76</f>
        <v>2830.798125</v>
      </c>
      <c r="F22" s="85" t="str">
        <f>'10.Grain Production details'!F76</f>
        <v>3396.95775</v>
      </c>
      <c r="G22" s="85" t="str">
        <f>'10.Grain Production details'!G76</f>
        <v>3963.117375</v>
      </c>
      <c r="H22" s="85" t="str">
        <f>'10.Grain Production details'!H76</f>
        <v>4529.277</v>
      </c>
    </row>
    <row r="23" ht="15.75" customHeight="1">
      <c r="A23" s="85" t="str">
        <f>'10.Grain Production details'!A77</f>
        <v>Channa</v>
      </c>
      <c r="B23" s="85" t="str">
        <f>'10.Grain Production details'!B77</f>
        <v>3522.771</v>
      </c>
      <c r="C23" s="85" t="str">
        <f>'10.Grain Production details'!C77</f>
        <v>5284.1565</v>
      </c>
      <c r="D23" s="85" t="str">
        <f>'10.Grain Production details'!D77</f>
        <v>7045.542</v>
      </c>
      <c r="E23" s="85" t="str">
        <f>'10.Grain Production details'!E77</f>
        <v>8806.9275</v>
      </c>
      <c r="F23" s="85" t="str">
        <f>'10.Grain Production details'!F77</f>
        <v>10568.313</v>
      </c>
      <c r="G23" s="85" t="str">
        <f>'10.Grain Production details'!G77</f>
        <v>12329.6985</v>
      </c>
      <c r="H23" s="85" t="str">
        <f>'10.Grain Production details'!H77</f>
        <v>14091.084</v>
      </c>
    </row>
    <row r="24" ht="15.75" customHeight="1">
      <c r="A24" s="85" t="str">
        <f>'10.Grain Production details'!A78</f>
        <v>Jawar</v>
      </c>
      <c r="B24" s="85" t="str">
        <f>'10.Grain Production details'!B78</f>
        <v>411.07824</v>
      </c>
      <c r="C24" s="85" t="str">
        <f>'10.Grain Production details'!C78</f>
        <v>616.61736</v>
      </c>
      <c r="D24" s="85" t="str">
        <f>'10.Grain Production details'!D78</f>
        <v>822.15648</v>
      </c>
      <c r="E24" s="85" t="str">
        <f>'10.Grain Production details'!E78</f>
        <v>1027.6956</v>
      </c>
      <c r="F24" s="85" t="str">
        <f>'10.Grain Production details'!F78</f>
        <v>1233.23472</v>
      </c>
      <c r="G24" s="85" t="str">
        <f>'10.Grain Production details'!G78</f>
        <v>1438.77384</v>
      </c>
      <c r="H24" s="85" t="str">
        <f>'10.Grain Production details'!H78</f>
        <v>1644.31296</v>
      </c>
    </row>
    <row r="25" ht="15.75" customHeight="1">
      <c r="A25" s="85" t="str">
        <f>'10.Grain Production details'!A79</f>
        <v>Maize</v>
      </c>
      <c r="B25" s="85" t="str">
        <f>'10.Grain Production details'!B79</f>
        <v>0</v>
      </c>
      <c r="C25" s="85" t="str">
        <f>'10.Grain Production details'!C79</f>
        <v>0</v>
      </c>
      <c r="D25" s="85" t="str">
        <f>'10.Grain Production details'!D79</f>
        <v>0</v>
      </c>
      <c r="E25" s="85" t="str">
        <f>'10.Grain Production details'!E79</f>
        <v>0</v>
      </c>
      <c r="F25" s="85" t="str">
        <f>'10.Grain Production details'!F79</f>
        <v>0</v>
      </c>
      <c r="G25" s="85" t="str">
        <f>'10.Grain Production details'!G79</f>
        <v>0</v>
      </c>
      <c r="H25" s="85" t="str">
        <f>'10.Grain Production details'!H79</f>
        <v>0</v>
      </c>
    </row>
    <row r="26" ht="15.75" customHeight="1">
      <c r="A26" s="85" t="str">
        <f>'10.Grain Production details'!A80</f>
        <v>Safflower</v>
      </c>
      <c r="B26" s="85" t="str">
        <f>'10.Grain Production details'!B80</f>
        <v>0</v>
      </c>
      <c r="C26" s="85" t="str">
        <f>'10.Grain Production details'!C80</f>
        <v>0</v>
      </c>
      <c r="D26" s="85" t="str">
        <f>'10.Grain Production details'!D80</f>
        <v>0</v>
      </c>
      <c r="E26" s="85" t="str">
        <f>'10.Grain Production details'!E80</f>
        <v>0</v>
      </c>
      <c r="F26" s="85" t="str">
        <f>'10.Grain Production details'!F80</f>
        <v>0</v>
      </c>
      <c r="G26" s="85" t="str">
        <f>'10.Grain Production details'!G80</f>
        <v>0</v>
      </c>
      <c r="H26" s="85" t="str">
        <f>'10.Grain Production details'!H80</f>
        <v>0</v>
      </c>
    </row>
    <row r="27" ht="15.75" customHeight="1">
      <c r="A27" s="85" t="str">
        <f>'10.Grain Production details'!A81</f>
        <v>Groundnut</v>
      </c>
      <c r="B27" s="85" t="str">
        <f>'10.Grain Production details'!B81</f>
        <v>131.11065</v>
      </c>
      <c r="C27" s="85" t="str">
        <f>'10.Grain Production details'!C81</f>
        <v>196.665975</v>
      </c>
      <c r="D27" s="85" t="str">
        <f>'10.Grain Production details'!D81</f>
        <v>262.2213</v>
      </c>
      <c r="E27" s="85" t="str">
        <f>'10.Grain Production details'!E81</f>
        <v>327.776625</v>
      </c>
      <c r="F27" s="85" t="str">
        <f>'10.Grain Production details'!F81</f>
        <v>393.33195</v>
      </c>
      <c r="G27" s="85" t="str">
        <f>'10.Grain Production details'!G81</f>
        <v>458.887275</v>
      </c>
      <c r="H27" s="85" t="str">
        <f>'10.Grain Production details'!H81</f>
        <v>524.4426</v>
      </c>
    </row>
    <row r="28" ht="15.75" customHeight="1">
      <c r="A28" s="85" t="str">
        <f>'10.Grain Production details'!A82</f>
        <v/>
      </c>
      <c r="B28" s="85" t="str">
        <f>'10.Grain Production details'!B82</f>
        <v>0</v>
      </c>
      <c r="C28" s="85" t="str">
        <f>'10.Grain Production details'!C82</f>
        <v>0</v>
      </c>
      <c r="D28" s="85" t="str">
        <f>'10.Grain Production details'!D82</f>
        <v>0</v>
      </c>
      <c r="E28" s="85" t="str">
        <f>'10.Grain Production details'!E82</f>
        <v>0</v>
      </c>
      <c r="F28" s="85" t="str">
        <f>'10.Grain Production details'!F82</f>
        <v>0</v>
      </c>
      <c r="G28" s="85" t="str">
        <f>'10.Grain Production details'!G82</f>
        <v>0</v>
      </c>
      <c r="H28" s="85" t="str">
        <f>'10.Grain Production details'!H82</f>
        <v>0</v>
      </c>
    </row>
    <row r="29" ht="15.75" customHeight="1">
      <c r="A29" s="85" t="str">
        <f>'10.Grain Production details'!A83</f>
        <v/>
      </c>
      <c r="B29" s="85" t="str">
        <f>'10.Grain Production details'!B83</f>
        <v>0</v>
      </c>
      <c r="C29" s="85" t="str">
        <f>'10.Grain Production details'!C83</f>
        <v>0</v>
      </c>
      <c r="D29" s="85" t="str">
        <f>'10.Grain Production details'!D83</f>
        <v>0</v>
      </c>
      <c r="E29" s="85" t="str">
        <f>'10.Grain Production details'!E83</f>
        <v>0</v>
      </c>
      <c r="F29" s="85" t="str">
        <f>'10.Grain Production details'!F83</f>
        <v>0</v>
      </c>
      <c r="G29" s="85" t="str">
        <f>'10.Grain Production details'!G83</f>
        <v>0</v>
      </c>
      <c r="H29" s="85" t="str">
        <f>'10.Grain Production details'!H83</f>
        <v>0</v>
      </c>
    </row>
    <row r="30" ht="15.75" customHeight="1">
      <c r="A30" s="85" t="str">
        <f>'10.Grain Production details'!A84</f>
        <v>Soybean</v>
      </c>
      <c r="B30" s="85" t="str">
        <f>'10.Grain Production details'!B84</f>
        <v>30.592485</v>
      </c>
      <c r="C30" s="85" t="str">
        <f>'10.Grain Production details'!C84</f>
        <v>45.8887275</v>
      </c>
      <c r="D30" s="85" t="str">
        <f>'10.Grain Production details'!D84</f>
        <v>61.18497</v>
      </c>
      <c r="E30" s="85" t="str">
        <f>'10.Grain Production details'!E84</f>
        <v>76.4812125</v>
      </c>
      <c r="F30" s="85" t="str">
        <f>'10.Grain Production details'!F84</f>
        <v>91.777455</v>
      </c>
      <c r="G30" s="85" t="str">
        <f>'10.Grain Production details'!G84</f>
        <v>107.0736975</v>
      </c>
      <c r="H30" s="85" t="str">
        <f>'10.Grain Production details'!H84</f>
        <v>122.36994</v>
      </c>
    </row>
    <row r="31" ht="15.75" customHeight="1">
      <c r="A31" s="85" t="str">
        <f>'10.Grain Production details'!A85</f>
        <v/>
      </c>
      <c r="B31" s="85" t="str">
        <f>'10.Grain Production details'!B85</f>
        <v>0</v>
      </c>
      <c r="C31" s="85" t="str">
        <f>'10.Grain Production details'!C85</f>
        <v>0</v>
      </c>
      <c r="D31" s="85" t="str">
        <f>'10.Grain Production details'!D85</f>
        <v>0</v>
      </c>
      <c r="E31" s="85" t="str">
        <f>'10.Grain Production details'!E85</f>
        <v>0</v>
      </c>
      <c r="F31" s="85" t="str">
        <f>'10.Grain Production details'!F85</f>
        <v>0</v>
      </c>
      <c r="G31" s="85" t="str">
        <f>'10.Grain Production details'!G85</f>
        <v>0</v>
      </c>
      <c r="H31" s="85" t="str">
        <f>'10.Grain Production details'!H85</f>
        <v>0</v>
      </c>
    </row>
    <row r="32" ht="15.75" customHeight="1">
      <c r="A32" s="85" t="s">
        <v>638</v>
      </c>
      <c r="B32" s="85" t="str">
        <f t="shared" ref="B32:H32" si="2">SUM(B13:B31)</f>
        <v>6836.073975</v>
      </c>
      <c r="C32" s="85" t="str">
        <f t="shared" si="2"/>
        <v>10254.11096</v>
      </c>
      <c r="D32" s="85" t="str">
        <f t="shared" si="2"/>
        <v>13672.14795</v>
      </c>
      <c r="E32" s="85" t="str">
        <f t="shared" si="2"/>
        <v>17090.18494</v>
      </c>
      <c r="F32" s="85" t="str">
        <f t="shared" si="2"/>
        <v>20508.22193</v>
      </c>
      <c r="G32" s="85" t="str">
        <f t="shared" si="2"/>
        <v>23926.25891</v>
      </c>
      <c r="H32" s="85" t="str">
        <f t="shared" si="2"/>
        <v>27344.2959</v>
      </c>
    </row>
    <row r="33" ht="15.75" customHeight="1">
      <c r="A33" s="359" t="s">
        <v>612</v>
      </c>
      <c r="B33" s="190">
        <v>0.1</v>
      </c>
      <c r="C33" s="190" t="str">
        <f t="shared" ref="C33:H33" si="3">B33</f>
        <v>10%</v>
      </c>
      <c r="D33" s="190" t="str">
        <f t="shared" si="3"/>
        <v>10%</v>
      </c>
      <c r="E33" s="190" t="str">
        <f t="shared" si="3"/>
        <v>10%</v>
      </c>
      <c r="F33" s="190" t="str">
        <f t="shared" si="3"/>
        <v>10%</v>
      </c>
      <c r="G33" s="190" t="str">
        <f t="shared" si="3"/>
        <v>10%</v>
      </c>
      <c r="H33" s="190" t="str">
        <f t="shared" si="3"/>
        <v>10%</v>
      </c>
    </row>
    <row r="34" ht="15.75" customHeight="1">
      <c r="A34" s="85" t="s">
        <v>639</v>
      </c>
      <c r="B34" s="180" t="str">
        <f t="shared" ref="B34:H34" si="4">1-B33</f>
        <v>90%</v>
      </c>
      <c r="C34" s="180" t="str">
        <f t="shared" si="4"/>
        <v>90%</v>
      </c>
      <c r="D34" s="180" t="str">
        <f t="shared" si="4"/>
        <v>90%</v>
      </c>
      <c r="E34" s="180" t="str">
        <f t="shared" si="4"/>
        <v>90%</v>
      </c>
      <c r="F34" s="180" t="str">
        <f t="shared" si="4"/>
        <v>90%</v>
      </c>
      <c r="G34" s="180" t="str">
        <f t="shared" si="4"/>
        <v>90%</v>
      </c>
      <c r="H34" s="180" t="str">
        <f t="shared" si="4"/>
        <v>90%</v>
      </c>
    </row>
    <row r="35" ht="15.75" customHeight="1">
      <c r="A35" s="117" t="s">
        <v>612</v>
      </c>
      <c r="B35" s="355" t="str">
        <f t="shared" ref="B35:H35" si="5">B32*B33</f>
        <v>  684 </v>
      </c>
      <c r="C35" s="355" t="str">
        <f t="shared" si="5"/>
        <v>  1,025 </v>
      </c>
      <c r="D35" s="355" t="str">
        <f t="shared" si="5"/>
        <v>  1,367 </v>
      </c>
      <c r="E35" s="355" t="str">
        <f t="shared" si="5"/>
        <v>  1,709 </v>
      </c>
      <c r="F35" s="355" t="str">
        <f t="shared" si="5"/>
        <v>  2,051 </v>
      </c>
      <c r="G35" s="355" t="str">
        <f t="shared" si="5"/>
        <v>  2,393 </v>
      </c>
      <c r="H35" s="355" t="str">
        <f t="shared" si="5"/>
        <v>  2,734 </v>
      </c>
    </row>
    <row r="36" ht="15.75" customHeight="1">
      <c r="A36" s="117" t="s">
        <v>613</v>
      </c>
      <c r="B36" s="118"/>
      <c r="C36" s="118"/>
      <c r="D36" s="118"/>
      <c r="E36" s="118"/>
      <c r="F36" s="118"/>
      <c r="G36" s="118"/>
      <c r="H36" s="118"/>
    </row>
    <row r="37" ht="15.75" customHeight="1">
      <c r="A37" s="85" t="str">
        <f t="shared" ref="A37:A55" si="7">A13</f>
        <v>Soybean</v>
      </c>
      <c r="B37" s="116" t="str">
        <f t="shared" ref="B37:H37" si="6">B13*$B$34</f>
        <v>  -   </v>
      </c>
      <c r="C37" s="116" t="str">
        <f t="shared" si="6"/>
        <v>  -   </v>
      </c>
      <c r="D37" s="116" t="str">
        <f t="shared" si="6"/>
        <v>  -   </v>
      </c>
      <c r="E37" s="116" t="str">
        <f t="shared" si="6"/>
        <v>  -   </v>
      </c>
      <c r="F37" s="116" t="str">
        <f t="shared" si="6"/>
        <v>  -   </v>
      </c>
      <c r="G37" s="116" t="str">
        <f t="shared" si="6"/>
        <v>  -   </v>
      </c>
      <c r="H37" s="116" t="str">
        <f t="shared" si="6"/>
        <v>  -   </v>
      </c>
    </row>
    <row r="38" ht="15.75" customHeight="1">
      <c r="A38" s="85" t="str">
        <f t="shared" si="7"/>
        <v>Redgram</v>
      </c>
      <c r="B38" s="116" t="str">
        <f t="shared" ref="B38:B55" si="8">B14*$B$34</f>
        <v>  377 </v>
      </c>
      <c r="C38" s="116" t="str">
        <f t="shared" ref="C38:C55" si="9">C14*$C$34</f>
        <v>  566 </v>
      </c>
      <c r="D38" s="116" t="str">
        <f t="shared" ref="D38:D55" si="10">D14*$D$34</f>
        <v>  755 </v>
      </c>
      <c r="E38" s="116" t="str">
        <f t="shared" ref="E38:E55" si="11">E14*$E$34</f>
        <v>  944 </v>
      </c>
      <c r="F38" s="116" t="str">
        <f t="shared" ref="F38:F55" si="12">F14*$F$34</f>
        <v>  1,132 </v>
      </c>
      <c r="G38" s="116" t="str">
        <f t="shared" ref="G38:G55" si="13">G14*$G$34</f>
        <v>  1,321 </v>
      </c>
      <c r="H38" s="116" t="str">
        <f t="shared" ref="H38:H55" si="14">H14*$H$34</f>
        <v>  1,510 </v>
      </c>
    </row>
    <row r="39" ht="15.75" customHeight="1">
      <c r="A39" s="85" t="str">
        <f t="shared" si="7"/>
        <v>Turmeric</v>
      </c>
      <c r="B39" s="116" t="str">
        <f t="shared" si="8"/>
        <v>  795 </v>
      </c>
      <c r="C39" s="116" t="str">
        <f t="shared" si="9"/>
        <v>  1,192 </v>
      </c>
      <c r="D39" s="116" t="str">
        <f t="shared" si="10"/>
        <v>  1,589 </v>
      </c>
      <c r="E39" s="116" t="str">
        <f t="shared" si="11"/>
        <v>  1,987 </v>
      </c>
      <c r="F39" s="116" t="str">
        <f t="shared" si="12"/>
        <v>  2,384 </v>
      </c>
      <c r="G39" s="116" t="str">
        <f t="shared" si="13"/>
        <v>  2,781 </v>
      </c>
      <c r="H39" s="116" t="str">
        <f t="shared" si="14"/>
        <v>  3,178 </v>
      </c>
    </row>
    <row r="40" ht="15.75" customHeight="1">
      <c r="A40" s="85" t="str">
        <f t="shared" si="7"/>
        <v>Bengalgram</v>
      </c>
      <c r="B40" s="116" t="str">
        <f t="shared" si="8"/>
        <v>  275 </v>
      </c>
      <c r="C40" s="116" t="str">
        <f t="shared" si="9"/>
        <v>  413 </v>
      </c>
      <c r="D40" s="116" t="str">
        <f t="shared" si="10"/>
        <v>  551 </v>
      </c>
      <c r="E40" s="116" t="str">
        <f t="shared" si="11"/>
        <v>  688 </v>
      </c>
      <c r="F40" s="116" t="str">
        <f t="shared" si="12"/>
        <v>  826 </v>
      </c>
      <c r="G40" s="116" t="str">
        <f t="shared" si="13"/>
        <v>  964 </v>
      </c>
      <c r="H40" s="116" t="str">
        <f t="shared" si="14"/>
        <v>  1,101 </v>
      </c>
    </row>
    <row r="41" ht="15.75" customHeight="1">
      <c r="A41" s="85" t="str">
        <f t="shared" si="7"/>
        <v>Channa</v>
      </c>
      <c r="B41" s="116" t="str">
        <f t="shared" si="8"/>
        <v>  -   </v>
      </c>
      <c r="C41" s="116" t="str">
        <f t="shared" si="9"/>
        <v>  -   </v>
      </c>
      <c r="D41" s="116" t="str">
        <f t="shared" si="10"/>
        <v>  -   </v>
      </c>
      <c r="E41" s="116" t="str">
        <f t="shared" si="11"/>
        <v>  -   </v>
      </c>
      <c r="F41" s="116" t="str">
        <f t="shared" si="12"/>
        <v>  -   </v>
      </c>
      <c r="G41" s="116" t="str">
        <f t="shared" si="13"/>
        <v>  -   </v>
      </c>
      <c r="H41" s="116" t="str">
        <f t="shared" si="14"/>
        <v>  -   </v>
      </c>
    </row>
    <row r="42" ht="15.75" customHeight="1">
      <c r="A42" s="85" t="str">
        <f t="shared" si="7"/>
        <v>Udid</v>
      </c>
      <c r="B42" s="116" t="str">
        <f t="shared" si="8"/>
        <v>  -   </v>
      </c>
      <c r="C42" s="116" t="str">
        <f t="shared" si="9"/>
        <v>  -   </v>
      </c>
      <c r="D42" s="116" t="str">
        <f t="shared" si="10"/>
        <v>  -   </v>
      </c>
      <c r="E42" s="116" t="str">
        <f t="shared" si="11"/>
        <v>  -   </v>
      </c>
      <c r="F42" s="116" t="str">
        <f t="shared" si="12"/>
        <v>  -   </v>
      </c>
      <c r="G42" s="116" t="str">
        <f t="shared" si="13"/>
        <v>  -   </v>
      </c>
      <c r="H42" s="116" t="str">
        <f t="shared" si="14"/>
        <v>  -   </v>
      </c>
    </row>
    <row r="43" ht="15.75" customHeight="1">
      <c r="A43" s="85" t="str">
        <f t="shared" si="7"/>
        <v>Bajra</v>
      </c>
      <c r="B43" s="116" t="str">
        <f t="shared" si="8"/>
        <v>  -   </v>
      </c>
      <c r="C43" s="116" t="str">
        <f t="shared" si="9"/>
        <v>  -   </v>
      </c>
      <c r="D43" s="116" t="str">
        <f t="shared" si="10"/>
        <v>  -   </v>
      </c>
      <c r="E43" s="116" t="str">
        <f t="shared" si="11"/>
        <v>  -   </v>
      </c>
      <c r="F43" s="116" t="str">
        <f t="shared" si="12"/>
        <v>  -   </v>
      </c>
      <c r="G43" s="116" t="str">
        <f t="shared" si="13"/>
        <v>  -   </v>
      </c>
      <c r="H43" s="116" t="str">
        <f t="shared" si="14"/>
        <v>  -   </v>
      </c>
    </row>
    <row r="44" ht="15.75" customHeight="1">
      <c r="A44" s="85" t="str">
        <f t="shared" si="7"/>
        <v>Jawar</v>
      </c>
      <c r="B44" s="116" t="str">
        <f t="shared" si="8"/>
        <v>  -   </v>
      </c>
      <c r="C44" s="116" t="str">
        <f t="shared" si="9"/>
        <v>  -   </v>
      </c>
      <c r="D44" s="116" t="str">
        <f t="shared" si="10"/>
        <v>  -   </v>
      </c>
      <c r="E44" s="116" t="str">
        <f t="shared" si="11"/>
        <v>  -   </v>
      </c>
      <c r="F44" s="116" t="str">
        <f t="shared" si="12"/>
        <v>  -   </v>
      </c>
      <c r="G44" s="116" t="str">
        <f t="shared" si="13"/>
        <v>  -   </v>
      </c>
      <c r="H44" s="116" t="str">
        <f t="shared" si="14"/>
        <v>  -   </v>
      </c>
    </row>
    <row r="45" ht="15.75" customHeight="1">
      <c r="A45" s="85" t="str">
        <f t="shared" si="7"/>
        <v/>
      </c>
      <c r="B45" s="116" t="str">
        <f t="shared" si="8"/>
        <v>  -   </v>
      </c>
      <c r="C45" s="116" t="str">
        <f t="shared" si="9"/>
        <v>  -   </v>
      </c>
      <c r="D45" s="116" t="str">
        <f t="shared" si="10"/>
        <v>  -   </v>
      </c>
      <c r="E45" s="116" t="str">
        <f t="shared" si="11"/>
        <v>  -   </v>
      </c>
      <c r="F45" s="116" t="str">
        <f t="shared" si="12"/>
        <v>  -   </v>
      </c>
      <c r="G45" s="116" t="str">
        <f t="shared" si="13"/>
        <v>  -   </v>
      </c>
      <c r="H45" s="116" t="str">
        <f t="shared" si="14"/>
        <v>  -   </v>
      </c>
    </row>
    <row r="46" ht="15.75" customHeight="1">
      <c r="A46" s="85" t="str">
        <f t="shared" si="7"/>
        <v>Wheat</v>
      </c>
      <c r="B46" s="116" t="str">
        <f t="shared" si="8"/>
        <v>  1,019 </v>
      </c>
      <c r="C46" s="116" t="str">
        <f t="shared" si="9"/>
        <v>  1,529 </v>
      </c>
      <c r="D46" s="116" t="str">
        <f t="shared" si="10"/>
        <v>  2,038 </v>
      </c>
      <c r="E46" s="116" t="str">
        <f t="shared" si="11"/>
        <v>  2,548 </v>
      </c>
      <c r="F46" s="116" t="str">
        <f t="shared" si="12"/>
        <v>  3,057 </v>
      </c>
      <c r="G46" s="116" t="str">
        <f t="shared" si="13"/>
        <v>  3,567 </v>
      </c>
      <c r="H46" s="116" t="str">
        <f t="shared" si="14"/>
        <v>  4,076 </v>
      </c>
    </row>
    <row r="47" ht="15.75" customHeight="1">
      <c r="A47" s="85" t="str">
        <f t="shared" si="7"/>
        <v>Channa</v>
      </c>
      <c r="B47" s="116" t="str">
        <f t="shared" si="8"/>
        <v>  3,170 </v>
      </c>
      <c r="C47" s="116" t="str">
        <f t="shared" si="9"/>
        <v>  4,756 </v>
      </c>
      <c r="D47" s="116" t="str">
        <f t="shared" si="10"/>
        <v>  6,341 </v>
      </c>
      <c r="E47" s="116" t="str">
        <f t="shared" si="11"/>
        <v>  7,926 </v>
      </c>
      <c r="F47" s="116" t="str">
        <f t="shared" si="12"/>
        <v>  9,511 </v>
      </c>
      <c r="G47" s="116" t="str">
        <f t="shared" si="13"/>
        <v>  11,097 </v>
      </c>
      <c r="H47" s="116" t="str">
        <f t="shared" si="14"/>
        <v>  12,682 </v>
      </c>
    </row>
    <row r="48" ht="15.75" customHeight="1">
      <c r="A48" s="85" t="str">
        <f t="shared" si="7"/>
        <v>Jawar</v>
      </c>
      <c r="B48" s="116" t="str">
        <f t="shared" si="8"/>
        <v>  370 </v>
      </c>
      <c r="C48" s="116" t="str">
        <f t="shared" si="9"/>
        <v>  555 </v>
      </c>
      <c r="D48" s="116" t="str">
        <f t="shared" si="10"/>
        <v>  740 </v>
      </c>
      <c r="E48" s="116" t="str">
        <f t="shared" si="11"/>
        <v>  925 </v>
      </c>
      <c r="F48" s="116" t="str">
        <f t="shared" si="12"/>
        <v>  1,110 </v>
      </c>
      <c r="G48" s="116" t="str">
        <f t="shared" si="13"/>
        <v>  1,295 </v>
      </c>
      <c r="H48" s="116" t="str">
        <f t="shared" si="14"/>
        <v>  1,480 </v>
      </c>
    </row>
    <row r="49" ht="15.75" customHeight="1">
      <c r="A49" s="85" t="str">
        <f t="shared" si="7"/>
        <v>Maize</v>
      </c>
      <c r="B49" s="116" t="str">
        <f t="shared" si="8"/>
        <v>  -   </v>
      </c>
      <c r="C49" s="116" t="str">
        <f t="shared" si="9"/>
        <v>  -   </v>
      </c>
      <c r="D49" s="116" t="str">
        <f t="shared" si="10"/>
        <v>  -   </v>
      </c>
      <c r="E49" s="116" t="str">
        <f t="shared" si="11"/>
        <v>  -   </v>
      </c>
      <c r="F49" s="116" t="str">
        <f t="shared" si="12"/>
        <v>  -   </v>
      </c>
      <c r="G49" s="116" t="str">
        <f t="shared" si="13"/>
        <v>  -   </v>
      </c>
      <c r="H49" s="116" t="str">
        <f t="shared" si="14"/>
        <v>  -   </v>
      </c>
    </row>
    <row r="50" ht="15.75" customHeight="1">
      <c r="A50" s="85" t="str">
        <f t="shared" si="7"/>
        <v>Safflower</v>
      </c>
      <c r="B50" s="116" t="str">
        <f t="shared" si="8"/>
        <v>  -   </v>
      </c>
      <c r="C50" s="116" t="str">
        <f t="shared" si="9"/>
        <v>  -   </v>
      </c>
      <c r="D50" s="116" t="str">
        <f t="shared" si="10"/>
        <v>  -   </v>
      </c>
      <c r="E50" s="116" t="str">
        <f t="shared" si="11"/>
        <v>  -   </v>
      </c>
      <c r="F50" s="116" t="str">
        <f t="shared" si="12"/>
        <v>  -   </v>
      </c>
      <c r="G50" s="116" t="str">
        <f t="shared" si="13"/>
        <v>  -   </v>
      </c>
      <c r="H50" s="116" t="str">
        <f t="shared" si="14"/>
        <v>  -   </v>
      </c>
    </row>
    <row r="51" ht="15.75" customHeight="1">
      <c r="A51" s="85" t="str">
        <f t="shared" si="7"/>
        <v>Groundnut</v>
      </c>
      <c r="B51" s="116" t="str">
        <f t="shared" si="8"/>
        <v>  118 </v>
      </c>
      <c r="C51" s="116" t="str">
        <f t="shared" si="9"/>
        <v>  177 </v>
      </c>
      <c r="D51" s="116" t="str">
        <f t="shared" si="10"/>
        <v>  236 </v>
      </c>
      <c r="E51" s="116" t="str">
        <f t="shared" si="11"/>
        <v>  295 </v>
      </c>
      <c r="F51" s="116" t="str">
        <f t="shared" si="12"/>
        <v>  354 </v>
      </c>
      <c r="G51" s="116" t="str">
        <f t="shared" si="13"/>
        <v>  413 </v>
      </c>
      <c r="H51" s="116" t="str">
        <f t="shared" si="14"/>
        <v>  472 </v>
      </c>
    </row>
    <row r="52" ht="15.75" customHeight="1">
      <c r="A52" s="85" t="str">
        <f t="shared" si="7"/>
        <v/>
      </c>
      <c r="B52" s="116" t="str">
        <f t="shared" si="8"/>
        <v>  -   </v>
      </c>
      <c r="C52" s="116" t="str">
        <f t="shared" si="9"/>
        <v>  -   </v>
      </c>
      <c r="D52" s="116" t="str">
        <f t="shared" si="10"/>
        <v>  -   </v>
      </c>
      <c r="E52" s="116" t="str">
        <f t="shared" si="11"/>
        <v>  -   </v>
      </c>
      <c r="F52" s="116" t="str">
        <f t="shared" si="12"/>
        <v>  -   </v>
      </c>
      <c r="G52" s="116" t="str">
        <f t="shared" si="13"/>
        <v>  -   </v>
      </c>
      <c r="H52" s="116" t="str">
        <f t="shared" si="14"/>
        <v>  -   </v>
      </c>
    </row>
    <row r="53" ht="15.75" customHeight="1">
      <c r="A53" s="85" t="str">
        <f t="shared" si="7"/>
        <v/>
      </c>
      <c r="B53" s="116" t="str">
        <f t="shared" si="8"/>
        <v>  -   </v>
      </c>
      <c r="C53" s="116" t="str">
        <f t="shared" si="9"/>
        <v>  -   </v>
      </c>
      <c r="D53" s="116" t="str">
        <f t="shared" si="10"/>
        <v>  -   </v>
      </c>
      <c r="E53" s="116" t="str">
        <f t="shared" si="11"/>
        <v>  -   </v>
      </c>
      <c r="F53" s="116" t="str">
        <f t="shared" si="12"/>
        <v>  -   </v>
      </c>
      <c r="G53" s="116" t="str">
        <f t="shared" si="13"/>
        <v>  -   </v>
      </c>
      <c r="H53" s="116" t="str">
        <f t="shared" si="14"/>
        <v>  -   </v>
      </c>
    </row>
    <row r="54" ht="15.75" customHeight="1">
      <c r="A54" s="85" t="str">
        <f t="shared" si="7"/>
        <v>Soybean</v>
      </c>
      <c r="B54" s="116" t="str">
        <f t="shared" si="8"/>
        <v>  28 </v>
      </c>
      <c r="C54" s="116" t="str">
        <f t="shared" si="9"/>
        <v>  41 </v>
      </c>
      <c r="D54" s="116" t="str">
        <f t="shared" si="10"/>
        <v>  55 </v>
      </c>
      <c r="E54" s="116" t="str">
        <f t="shared" si="11"/>
        <v>  69 </v>
      </c>
      <c r="F54" s="116" t="str">
        <f t="shared" si="12"/>
        <v>  83 </v>
      </c>
      <c r="G54" s="116" t="str">
        <f t="shared" si="13"/>
        <v>  96 </v>
      </c>
      <c r="H54" s="116" t="str">
        <f t="shared" si="14"/>
        <v>  110 </v>
      </c>
    </row>
    <row r="55" ht="15.75" customHeight="1">
      <c r="A55" s="85" t="str">
        <f t="shared" si="7"/>
        <v/>
      </c>
      <c r="B55" s="116" t="str">
        <f t="shared" si="8"/>
        <v>  -   </v>
      </c>
      <c r="C55" s="116" t="str">
        <f t="shared" si="9"/>
        <v>  -   </v>
      </c>
      <c r="D55" s="116" t="str">
        <f t="shared" si="10"/>
        <v>  -   </v>
      </c>
      <c r="E55" s="116" t="str">
        <f t="shared" si="11"/>
        <v>  -   </v>
      </c>
      <c r="F55" s="116" t="str">
        <f t="shared" si="12"/>
        <v>  -   </v>
      </c>
      <c r="G55" s="116" t="str">
        <f t="shared" si="13"/>
        <v>  -   </v>
      </c>
      <c r="H55" s="116" t="str">
        <f t="shared" si="14"/>
        <v>  -   </v>
      </c>
    </row>
    <row r="56" ht="15.75" customHeight="1">
      <c r="A56" s="85"/>
      <c r="B56" s="85"/>
      <c r="C56" s="85"/>
      <c r="D56" s="85"/>
      <c r="E56" s="85"/>
      <c r="F56" s="85"/>
      <c r="G56" s="85"/>
      <c r="H56" s="85"/>
    </row>
    <row r="57" ht="15.75" customHeight="1">
      <c r="A57" s="117" t="s">
        <v>640</v>
      </c>
      <c r="B57" s="85"/>
      <c r="C57" s="85"/>
      <c r="D57" s="85"/>
      <c r="E57" s="85"/>
      <c r="F57" s="85"/>
      <c r="G57" s="85"/>
      <c r="H57" s="85"/>
    </row>
    <row r="58" ht="15.75" customHeight="1">
      <c r="A58" s="85" t="str">
        <f>A37</f>
        <v>Soybean</v>
      </c>
      <c r="B58" s="85"/>
      <c r="C58" s="85"/>
      <c r="D58" s="85"/>
      <c r="E58" s="85"/>
      <c r="F58" s="85"/>
      <c r="G58" s="85"/>
      <c r="H58" s="85"/>
    </row>
    <row r="59" ht="15.75" customHeight="1">
      <c r="A59" s="85"/>
      <c r="B59" s="85"/>
      <c r="C59" s="85"/>
      <c r="D59" s="85"/>
      <c r="E59" s="85"/>
      <c r="F59" s="85"/>
      <c r="G59" s="85"/>
      <c r="H59" s="85"/>
    </row>
    <row r="60" ht="15.75" customHeight="1">
      <c r="A60" s="85"/>
      <c r="B60" s="85"/>
      <c r="C60" s="85"/>
      <c r="D60" s="85"/>
      <c r="E60" s="85"/>
      <c r="F60" s="85"/>
      <c r="G60" s="85"/>
      <c r="H60" s="85"/>
    </row>
    <row r="61" ht="15.75" customHeight="1">
      <c r="A61" s="85"/>
      <c r="B61" s="85"/>
      <c r="C61" s="85"/>
      <c r="D61" s="85"/>
      <c r="E61" s="85"/>
      <c r="F61" s="85"/>
      <c r="G61" s="85"/>
      <c r="H61" s="85"/>
    </row>
    <row r="62" ht="15.75" customHeight="1">
      <c r="A62" s="85" t="str">
        <f>A38</f>
        <v>Redgram</v>
      </c>
      <c r="B62" s="346"/>
      <c r="C62" s="346"/>
      <c r="D62" s="346"/>
      <c r="E62" s="346"/>
      <c r="F62" s="346"/>
      <c r="G62" s="346"/>
      <c r="H62" s="346"/>
    </row>
    <row r="63" ht="15.75" customHeight="1">
      <c r="A63" s="85" t="s">
        <v>641</v>
      </c>
      <c r="B63" s="346" t="str">
        <f t="shared" ref="B63:H63" si="15">B38*80%</f>
        <v>  301.95 </v>
      </c>
      <c r="C63" s="346" t="str">
        <f t="shared" si="15"/>
        <v>  452.93 </v>
      </c>
      <c r="D63" s="346" t="str">
        <f t="shared" si="15"/>
        <v>  603.90 </v>
      </c>
      <c r="E63" s="346" t="str">
        <f t="shared" si="15"/>
        <v>  754.88 </v>
      </c>
      <c r="F63" s="346" t="str">
        <f t="shared" si="15"/>
        <v>  905.86 </v>
      </c>
      <c r="G63" s="346" t="str">
        <f t="shared" si="15"/>
        <v>  1,056.83 </v>
      </c>
      <c r="H63" s="346" t="str">
        <f t="shared" si="15"/>
        <v>  1,207.81 </v>
      </c>
    </row>
    <row r="64" ht="15.75" customHeight="1">
      <c r="A64" s="85" t="s">
        <v>642</v>
      </c>
      <c r="B64" s="346" t="str">
        <f t="shared" ref="B64:H64" si="16">B38*20%</f>
        <v>  75.49 </v>
      </c>
      <c r="C64" s="346" t="str">
        <f t="shared" si="16"/>
        <v>  113.23 </v>
      </c>
      <c r="D64" s="346" t="str">
        <f t="shared" si="16"/>
        <v>  150.98 </v>
      </c>
      <c r="E64" s="346" t="str">
        <f t="shared" si="16"/>
        <v>  188.72 </v>
      </c>
      <c r="F64" s="346" t="str">
        <f t="shared" si="16"/>
        <v>  226.46 </v>
      </c>
      <c r="G64" s="346" t="str">
        <f t="shared" si="16"/>
        <v>  264.21 </v>
      </c>
      <c r="H64" s="346" t="str">
        <f t="shared" si="16"/>
        <v>  301.95 </v>
      </c>
    </row>
    <row r="65" ht="15.75" customHeight="1">
      <c r="A65" s="85" t="str">
        <f>A39</f>
        <v>Turmeric</v>
      </c>
      <c r="B65" s="116"/>
      <c r="C65" s="116"/>
      <c r="D65" s="116"/>
      <c r="E65" s="116"/>
      <c r="F65" s="116"/>
      <c r="G65" s="116"/>
      <c r="H65" s="116"/>
    </row>
    <row r="66" ht="15.75" customHeight="1">
      <c r="A66" s="85"/>
      <c r="B66" s="116"/>
      <c r="C66" s="116"/>
      <c r="D66" s="116"/>
      <c r="E66" s="116"/>
      <c r="F66" s="116"/>
      <c r="G66" s="116"/>
      <c r="H66" s="116"/>
    </row>
    <row r="67" ht="15.75" customHeight="1">
      <c r="A67" s="85"/>
      <c r="B67" s="116"/>
      <c r="C67" s="116"/>
      <c r="D67" s="116"/>
      <c r="E67" s="116"/>
      <c r="F67" s="116"/>
      <c r="G67" s="116"/>
      <c r="H67" s="116"/>
    </row>
    <row r="68" ht="15.75" customHeight="1">
      <c r="A68" s="85"/>
      <c r="B68" s="116"/>
      <c r="C68" s="116"/>
      <c r="D68" s="116"/>
      <c r="E68" s="116"/>
      <c r="F68" s="116"/>
      <c r="G68" s="116"/>
      <c r="H68" s="116"/>
    </row>
    <row r="69" ht="15.75" customHeight="1">
      <c r="A69" s="85" t="str">
        <f>A40</f>
        <v>Bengalgram</v>
      </c>
      <c r="B69" s="116"/>
      <c r="C69" s="116"/>
      <c r="D69" s="116"/>
      <c r="E69" s="116"/>
      <c r="F69" s="116"/>
      <c r="G69" s="116"/>
      <c r="H69" s="116"/>
    </row>
    <row r="70" ht="15.75" customHeight="1">
      <c r="A70" s="85" t="s">
        <v>641</v>
      </c>
      <c r="B70" s="116" t="str">
        <f t="shared" ref="B70:H70" si="17">B40*80%</f>
        <v>  220 </v>
      </c>
      <c r="C70" s="116" t="str">
        <f t="shared" si="17"/>
        <v>  330 </v>
      </c>
      <c r="D70" s="116" t="str">
        <f t="shared" si="17"/>
        <v>  441 </v>
      </c>
      <c r="E70" s="116" t="str">
        <f t="shared" si="17"/>
        <v>  551 </v>
      </c>
      <c r="F70" s="116" t="str">
        <f t="shared" si="17"/>
        <v>  661 </v>
      </c>
      <c r="G70" s="116" t="str">
        <f t="shared" si="17"/>
        <v>  771 </v>
      </c>
      <c r="H70" s="116" t="str">
        <f t="shared" si="17"/>
        <v>  881 </v>
      </c>
    </row>
    <row r="71" ht="15.75" customHeight="1">
      <c r="A71" s="85" t="s">
        <v>642</v>
      </c>
      <c r="B71" s="116" t="str">
        <f t="shared" ref="B71:H71" si="18">B40*20%</f>
        <v>  55 </v>
      </c>
      <c r="C71" s="116" t="str">
        <f t="shared" si="18"/>
        <v>  83 </v>
      </c>
      <c r="D71" s="116" t="str">
        <f t="shared" si="18"/>
        <v>  110 </v>
      </c>
      <c r="E71" s="116" t="str">
        <f t="shared" si="18"/>
        <v>  138 </v>
      </c>
      <c r="F71" s="116" t="str">
        <f t="shared" si="18"/>
        <v>  165 </v>
      </c>
      <c r="G71" s="116" t="str">
        <f t="shared" si="18"/>
        <v>  193 </v>
      </c>
      <c r="H71" s="116" t="str">
        <f t="shared" si="18"/>
        <v>  220 </v>
      </c>
    </row>
    <row r="72" ht="15.75" customHeight="1">
      <c r="A72" s="85" t="str">
        <f>A41</f>
        <v>Channa</v>
      </c>
      <c r="B72" s="116"/>
      <c r="C72" s="116"/>
      <c r="D72" s="116"/>
      <c r="E72" s="116"/>
      <c r="F72" s="116"/>
      <c r="G72" s="116"/>
      <c r="H72" s="116"/>
    </row>
    <row r="73" ht="15.75" customHeight="1">
      <c r="A73" s="85"/>
      <c r="B73" s="116"/>
      <c r="C73" s="116"/>
      <c r="D73" s="116"/>
      <c r="E73" s="116"/>
      <c r="F73" s="116"/>
      <c r="G73" s="116"/>
      <c r="H73" s="116"/>
    </row>
    <row r="74" ht="15.75" customHeight="1">
      <c r="A74" s="85"/>
      <c r="B74" s="116"/>
      <c r="C74" s="116"/>
      <c r="D74" s="116"/>
      <c r="E74" s="116"/>
      <c r="F74" s="116"/>
      <c r="G74" s="116"/>
      <c r="H74" s="116"/>
    </row>
    <row r="75" ht="15.75" customHeight="1">
      <c r="A75" s="85"/>
      <c r="B75" s="116"/>
      <c r="C75" s="116"/>
      <c r="D75" s="116"/>
      <c r="E75" s="116"/>
      <c r="F75" s="116"/>
      <c r="G75" s="116"/>
      <c r="H75" s="116"/>
    </row>
    <row r="76" ht="15.75" customHeight="1">
      <c r="A76" s="85"/>
      <c r="B76" s="116"/>
      <c r="C76" s="116"/>
      <c r="D76" s="116"/>
      <c r="E76" s="116"/>
      <c r="F76" s="116"/>
      <c r="G76" s="116"/>
      <c r="H76" s="116"/>
    </row>
    <row r="77" ht="15.75" customHeight="1">
      <c r="A77" s="85" t="str">
        <f>A42</f>
        <v>Udid</v>
      </c>
      <c r="B77" s="116"/>
      <c r="C77" s="116"/>
      <c r="D77" s="116"/>
      <c r="E77" s="116"/>
      <c r="F77" s="116"/>
      <c r="G77" s="116"/>
      <c r="H77" s="116"/>
    </row>
    <row r="78" ht="15.75" customHeight="1">
      <c r="A78" s="85" t="s">
        <v>641</v>
      </c>
      <c r="B78" s="116" t="str">
        <f t="shared" ref="B78:H78" si="19">B42*80%</f>
        <v>  -   </v>
      </c>
      <c r="C78" s="116" t="str">
        <f t="shared" si="19"/>
        <v>  -   </v>
      </c>
      <c r="D78" s="116" t="str">
        <f t="shared" si="19"/>
        <v>  -   </v>
      </c>
      <c r="E78" s="116" t="str">
        <f t="shared" si="19"/>
        <v>  -   </v>
      </c>
      <c r="F78" s="116" t="str">
        <f t="shared" si="19"/>
        <v>  -   </v>
      </c>
      <c r="G78" s="116" t="str">
        <f t="shared" si="19"/>
        <v>  -   </v>
      </c>
      <c r="H78" s="116" t="str">
        <f t="shared" si="19"/>
        <v>  -   </v>
      </c>
    </row>
    <row r="79" ht="15.75" customHeight="1">
      <c r="A79" s="85" t="s">
        <v>642</v>
      </c>
      <c r="B79" s="116" t="str">
        <f t="shared" ref="B79:H79" si="20">B42*20%</f>
        <v>  -   </v>
      </c>
      <c r="C79" s="116" t="str">
        <f t="shared" si="20"/>
        <v>  -   </v>
      </c>
      <c r="D79" s="116" t="str">
        <f t="shared" si="20"/>
        <v>  -   </v>
      </c>
      <c r="E79" s="116" t="str">
        <f t="shared" si="20"/>
        <v>  -   </v>
      </c>
      <c r="F79" s="116" t="str">
        <f t="shared" si="20"/>
        <v>  -   </v>
      </c>
      <c r="G79" s="116" t="str">
        <f t="shared" si="20"/>
        <v>  -   </v>
      </c>
      <c r="H79" s="116" t="str">
        <f t="shared" si="20"/>
        <v>  -   </v>
      </c>
    </row>
    <row r="80" ht="15.75" customHeight="1">
      <c r="A80" s="85" t="str">
        <f>A43</f>
        <v>Bajra</v>
      </c>
      <c r="B80" s="116"/>
      <c r="C80" s="116"/>
      <c r="D80" s="116"/>
      <c r="E80" s="116"/>
      <c r="F80" s="116"/>
      <c r="G80" s="116"/>
      <c r="H80" s="116"/>
    </row>
    <row r="81" ht="15.75" customHeight="1">
      <c r="A81" s="85"/>
      <c r="B81" s="116"/>
      <c r="C81" s="116"/>
      <c r="D81" s="116"/>
      <c r="E81" s="116"/>
      <c r="F81" s="116"/>
      <c r="G81" s="116"/>
      <c r="H81" s="116"/>
    </row>
    <row r="82" ht="15.75" customHeight="1">
      <c r="A82" s="85"/>
      <c r="B82" s="116"/>
      <c r="C82" s="116"/>
      <c r="D82" s="116"/>
      <c r="E82" s="116"/>
      <c r="F82" s="116"/>
      <c r="G82" s="116"/>
      <c r="H82" s="116"/>
    </row>
    <row r="83" ht="15.75" customHeight="1">
      <c r="A83" s="85" t="str">
        <f>A44</f>
        <v>Jawar</v>
      </c>
      <c r="B83" s="116"/>
      <c r="C83" s="116"/>
      <c r="D83" s="116"/>
      <c r="E83" s="116"/>
      <c r="F83" s="116"/>
      <c r="G83" s="116"/>
      <c r="H83" s="116"/>
    </row>
    <row r="84" ht="15.75" customHeight="1">
      <c r="A84" s="85"/>
      <c r="B84" s="116"/>
      <c r="C84" s="116"/>
      <c r="D84" s="116"/>
      <c r="E84" s="116"/>
      <c r="F84" s="116"/>
      <c r="G84" s="116"/>
      <c r="H84" s="116"/>
    </row>
    <row r="85" ht="15.75" customHeight="1">
      <c r="A85" s="85"/>
      <c r="B85" s="116"/>
      <c r="C85" s="116"/>
      <c r="D85" s="116"/>
      <c r="E85" s="116"/>
      <c r="F85" s="116"/>
      <c r="G85" s="116"/>
      <c r="H85" s="116"/>
    </row>
    <row r="86" ht="15.75" customHeight="1">
      <c r="A86" s="85"/>
      <c r="B86" s="116"/>
      <c r="C86" s="116"/>
      <c r="D86" s="116"/>
      <c r="E86" s="116"/>
      <c r="F86" s="116"/>
      <c r="G86" s="116"/>
      <c r="H86" s="116"/>
    </row>
    <row r="87" ht="15.75" customHeight="1">
      <c r="A87" s="85" t="str">
        <f>A45</f>
        <v/>
      </c>
      <c r="B87" s="116"/>
      <c r="C87" s="116"/>
      <c r="D87" s="116"/>
      <c r="E87" s="116"/>
      <c r="F87" s="116"/>
      <c r="G87" s="116"/>
      <c r="H87" s="116"/>
    </row>
    <row r="88" ht="15.75" customHeight="1">
      <c r="A88" s="85"/>
      <c r="B88" s="116"/>
      <c r="C88" s="116"/>
      <c r="D88" s="116"/>
      <c r="E88" s="116"/>
      <c r="F88" s="116"/>
      <c r="G88" s="116"/>
      <c r="H88" s="116"/>
    </row>
    <row r="89" ht="15.75" customHeight="1">
      <c r="A89" s="85"/>
      <c r="B89" s="116"/>
      <c r="C89" s="116"/>
      <c r="D89" s="116"/>
      <c r="E89" s="116"/>
      <c r="F89" s="116"/>
      <c r="G89" s="116"/>
      <c r="H89" s="116"/>
    </row>
    <row r="90" ht="15.75" customHeight="1">
      <c r="A90" s="85"/>
      <c r="B90" s="116"/>
      <c r="C90" s="116"/>
      <c r="D90" s="116"/>
      <c r="E90" s="116"/>
      <c r="F90" s="116"/>
      <c r="G90" s="116"/>
      <c r="H90" s="116"/>
    </row>
    <row r="91" ht="15.75" customHeight="1">
      <c r="A91" s="85" t="str">
        <f>A46</f>
        <v>Wheat</v>
      </c>
      <c r="B91" s="116"/>
      <c r="C91" s="116"/>
      <c r="D91" s="116"/>
      <c r="E91" s="116"/>
      <c r="F91" s="116"/>
      <c r="G91" s="116"/>
      <c r="H91" s="116"/>
    </row>
    <row r="92" ht="15.75" customHeight="1">
      <c r="A92" s="85"/>
      <c r="B92" s="116"/>
      <c r="C92" s="116"/>
      <c r="D92" s="116"/>
      <c r="E92" s="116"/>
      <c r="F92" s="116"/>
      <c r="G92" s="116"/>
      <c r="H92" s="116"/>
    </row>
    <row r="93" ht="15.75" customHeight="1">
      <c r="A93" s="85"/>
      <c r="B93" s="116"/>
      <c r="C93" s="116"/>
      <c r="D93" s="116"/>
      <c r="E93" s="116"/>
      <c r="F93" s="116"/>
      <c r="G93" s="116"/>
      <c r="H93" s="116"/>
    </row>
    <row r="94" ht="15.75" customHeight="1">
      <c r="A94" s="85" t="str">
        <f>A47</f>
        <v>Channa</v>
      </c>
      <c r="B94" s="116"/>
      <c r="C94" s="116"/>
      <c r="D94" s="116"/>
      <c r="E94" s="116"/>
      <c r="F94" s="116"/>
      <c r="G94" s="116"/>
      <c r="H94" s="116"/>
    </row>
    <row r="95" ht="15.75" customHeight="1">
      <c r="A95" s="85" t="s">
        <v>641</v>
      </c>
      <c r="B95" s="116" t="str">
        <f t="shared" ref="B95:H95" si="21">B47*80%</f>
        <v>  2,536 </v>
      </c>
      <c r="C95" s="116" t="str">
        <f t="shared" si="21"/>
        <v>  3,805 </v>
      </c>
      <c r="D95" s="116" t="str">
        <f t="shared" si="21"/>
        <v>  5,073 </v>
      </c>
      <c r="E95" s="116" t="str">
        <f t="shared" si="21"/>
        <v>  6,341 </v>
      </c>
      <c r="F95" s="116" t="str">
        <f t="shared" si="21"/>
        <v>  7,609 </v>
      </c>
      <c r="G95" s="116" t="str">
        <f t="shared" si="21"/>
        <v>  8,877 </v>
      </c>
      <c r="H95" s="116" t="str">
        <f t="shared" si="21"/>
        <v>  10,146 </v>
      </c>
    </row>
    <row r="96" ht="15.75" customHeight="1">
      <c r="A96" s="85" t="s">
        <v>642</v>
      </c>
      <c r="B96" s="116" t="str">
        <f t="shared" ref="B96:H96" si="22">B47*20%</f>
        <v>  634 </v>
      </c>
      <c r="C96" s="116" t="str">
        <f t="shared" si="22"/>
        <v>  951 </v>
      </c>
      <c r="D96" s="116" t="str">
        <f t="shared" si="22"/>
        <v>  1,268 </v>
      </c>
      <c r="E96" s="116" t="str">
        <f t="shared" si="22"/>
        <v>  1,585 </v>
      </c>
      <c r="F96" s="116" t="str">
        <f t="shared" si="22"/>
        <v>  1,902 </v>
      </c>
      <c r="G96" s="116" t="str">
        <f t="shared" si="22"/>
        <v>  2,219 </v>
      </c>
      <c r="H96" s="116" t="str">
        <f t="shared" si="22"/>
        <v>  2,536 </v>
      </c>
    </row>
    <row r="97" ht="15.75" customHeight="1">
      <c r="A97" s="85" t="str">
        <f>A48</f>
        <v>Jawar</v>
      </c>
      <c r="B97" s="116"/>
      <c r="C97" s="116"/>
      <c r="D97" s="116"/>
      <c r="E97" s="116"/>
      <c r="F97" s="116"/>
      <c r="G97" s="116"/>
      <c r="H97" s="116"/>
    </row>
    <row r="98" ht="15.75" customHeight="1">
      <c r="A98" s="85"/>
      <c r="B98" s="116"/>
      <c r="C98" s="116"/>
      <c r="D98" s="116"/>
      <c r="E98" s="116"/>
      <c r="F98" s="116"/>
      <c r="G98" s="116"/>
      <c r="H98" s="116"/>
    </row>
    <row r="99" ht="15.75" customHeight="1">
      <c r="A99" s="85"/>
      <c r="B99" s="116"/>
      <c r="C99" s="116"/>
      <c r="D99" s="116"/>
      <c r="E99" s="116"/>
      <c r="F99" s="116"/>
      <c r="G99" s="116"/>
      <c r="H99" s="116"/>
    </row>
    <row r="100" ht="15.75" customHeight="1">
      <c r="A100" s="85" t="str">
        <f>A49</f>
        <v>Maize</v>
      </c>
      <c r="B100" s="116"/>
      <c r="C100" s="116"/>
      <c r="D100" s="116"/>
      <c r="E100" s="116"/>
      <c r="F100" s="116"/>
      <c r="G100" s="116"/>
      <c r="H100" s="116"/>
    </row>
    <row r="101" ht="15.75" customHeight="1">
      <c r="A101" s="85"/>
      <c r="B101" s="116"/>
      <c r="C101" s="116"/>
      <c r="D101" s="116"/>
      <c r="E101" s="116"/>
      <c r="F101" s="116"/>
      <c r="G101" s="116"/>
      <c r="H101" s="116"/>
    </row>
    <row r="102" ht="15.75" customHeight="1">
      <c r="A102" s="85"/>
      <c r="B102" s="116"/>
      <c r="C102" s="116"/>
      <c r="D102" s="116"/>
      <c r="E102" s="116"/>
      <c r="F102" s="116"/>
      <c r="G102" s="116"/>
      <c r="H102" s="116"/>
    </row>
    <row r="103" ht="15.75" customHeight="1">
      <c r="A103" s="85" t="str">
        <f>A50</f>
        <v>Safflower</v>
      </c>
      <c r="B103" s="116"/>
      <c r="C103" s="116"/>
      <c r="D103" s="116"/>
      <c r="E103" s="116"/>
      <c r="F103" s="116"/>
      <c r="G103" s="116"/>
      <c r="H103" s="116"/>
    </row>
    <row r="104" ht="15.75" customHeight="1">
      <c r="A104" s="85"/>
      <c r="B104" s="116"/>
      <c r="C104" s="116"/>
      <c r="D104" s="116"/>
      <c r="E104" s="116"/>
      <c r="F104" s="116"/>
      <c r="G104" s="116"/>
      <c r="H104" s="116"/>
    </row>
    <row r="105" ht="15.75" customHeight="1">
      <c r="A105" s="85"/>
      <c r="B105" s="116"/>
      <c r="C105" s="116"/>
      <c r="D105" s="116"/>
      <c r="E105" s="116"/>
      <c r="F105" s="116"/>
      <c r="G105" s="116"/>
      <c r="H105" s="116"/>
    </row>
    <row r="106" ht="15.75" customHeight="1">
      <c r="A106" s="85" t="str">
        <f>A51</f>
        <v>Groundnut</v>
      </c>
      <c r="B106" s="116"/>
      <c r="C106" s="116"/>
      <c r="D106" s="116"/>
      <c r="E106" s="116"/>
      <c r="F106" s="116"/>
      <c r="G106" s="116"/>
      <c r="H106" s="116"/>
    </row>
    <row r="107" ht="15.75" customHeight="1">
      <c r="A107" s="85"/>
      <c r="B107" s="116"/>
      <c r="C107" s="116"/>
      <c r="D107" s="116"/>
      <c r="E107" s="116"/>
      <c r="F107" s="116"/>
      <c r="G107" s="116"/>
      <c r="H107" s="116"/>
    </row>
    <row r="108" ht="15.75" customHeight="1">
      <c r="A108" s="85"/>
      <c r="B108" s="116"/>
      <c r="C108" s="116"/>
      <c r="D108" s="116"/>
      <c r="E108" s="116"/>
      <c r="F108" s="116"/>
      <c r="G108" s="116"/>
      <c r="H108" s="116"/>
    </row>
    <row r="109" ht="15.75" customHeight="1">
      <c r="A109" s="85" t="str">
        <f>A52</f>
        <v/>
      </c>
      <c r="B109" s="116"/>
      <c r="C109" s="116"/>
      <c r="D109" s="116"/>
      <c r="E109" s="116"/>
      <c r="F109" s="116"/>
      <c r="G109" s="116"/>
      <c r="H109" s="116"/>
    </row>
    <row r="110" ht="15.75" customHeight="1">
      <c r="A110" s="85"/>
      <c r="B110" s="116"/>
      <c r="C110" s="116"/>
      <c r="D110" s="116"/>
      <c r="E110" s="116"/>
      <c r="F110" s="116"/>
      <c r="G110" s="116"/>
      <c r="H110" s="116"/>
    </row>
    <row r="111" ht="15.75" customHeight="1">
      <c r="A111" s="85"/>
      <c r="B111" s="116"/>
      <c r="C111" s="116"/>
      <c r="D111" s="116"/>
      <c r="E111" s="116"/>
      <c r="F111" s="116"/>
      <c r="G111" s="116"/>
      <c r="H111" s="116"/>
    </row>
    <row r="112" ht="15.75" customHeight="1">
      <c r="A112" s="85" t="str">
        <f>A53</f>
        <v/>
      </c>
      <c r="B112" s="116"/>
      <c r="C112" s="116"/>
      <c r="D112" s="116"/>
      <c r="E112" s="116"/>
      <c r="F112" s="116"/>
      <c r="G112" s="116"/>
      <c r="H112" s="116"/>
    </row>
    <row r="113" ht="15.75" customHeight="1">
      <c r="A113" s="85"/>
      <c r="B113" s="116"/>
      <c r="C113" s="116"/>
      <c r="D113" s="116"/>
      <c r="E113" s="116"/>
      <c r="F113" s="116"/>
      <c r="G113" s="116"/>
      <c r="H113" s="116"/>
    </row>
    <row r="114" ht="15.75" customHeight="1">
      <c r="A114" s="85"/>
      <c r="B114" s="116"/>
      <c r="C114" s="116"/>
      <c r="D114" s="116"/>
      <c r="E114" s="116"/>
      <c r="F114" s="116"/>
      <c r="G114" s="116"/>
      <c r="H114" s="116"/>
    </row>
    <row r="115" ht="15.75" customHeight="1">
      <c r="A115" s="85" t="str">
        <f>A54</f>
        <v>Soybean</v>
      </c>
      <c r="B115" s="116"/>
      <c r="C115" s="116"/>
      <c r="D115" s="116"/>
      <c r="E115" s="116"/>
      <c r="F115" s="116"/>
      <c r="G115" s="116"/>
      <c r="H115" s="116"/>
    </row>
    <row r="116" ht="15.75" customHeight="1">
      <c r="A116" s="85"/>
      <c r="B116" s="116"/>
      <c r="C116" s="116"/>
      <c r="D116" s="116"/>
      <c r="E116" s="116"/>
      <c r="F116" s="116"/>
      <c r="G116" s="116"/>
      <c r="H116" s="116"/>
    </row>
    <row r="117" ht="15.75" customHeight="1">
      <c r="A117" s="85"/>
      <c r="B117" s="116"/>
      <c r="C117" s="116"/>
      <c r="D117" s="116"/>
      <c r="E117" s="116"/>
      <c r="F117" s="116"/>
      <c r="G117" s="116"/>
      <c r="H117" s="116"/>
    </row>
    <row r="118" ht="15.75" customHeight="1">
      <c r="A118" s="85" t="str">
        <f>A55</f>
        <v/>
      </c>
      <c r="B118" s="116"/>
      <c r="C118" s="116"/>
      <c r="D118" s="116"/>
      <c r="E118" s="116"/>
      <c r="F118" s="116"/>
      <c r="G118" s="116"/>
      <c r="H118" s="116"/>
    </row>
    <row r="119" ht="15.75" customHeight="1">
      <c r="A119" s="85"/>
      <c r="B119" s="116"/>
      <c r="C119" s="116"/>
      <c r="D119" s="116"/>
      <c r="E119" s="116"/>
      <c r="F119" s="116"/>
      <c r="G119" s="116"/>
      <c r="H119" s="116"/>
    </row>
    <row r="120" ht="15.75" customHeight="1">
      <c r="A120" s="85"/>
      <c r="B120" s="116"/>
      <c r="C120" s="116"/>
      <c r="D120" s="116"/>
      <c r="E120" s="116"/>
      <c r="F120" s="116"/>
      <c r="G120" s="116"/>
      <c r="H120" s="116"/>
    </row>
    <row r="121" ht="15.75" customHeight="1">
      <c r="A121" s="85" t="str">
        <f>A56</f>
        <v/>
      </c>
      <c r="B121" s="116"/>
      <c r="C121" s="116"/>
      <c r="D121" s="116"/>
      <c r="E121" s="116"/>
      <c r="F121" s="116"/>
      <c r="G121" s="116"/>
      <c r="H121" s="116"/>
    </row>
    <row r="122" ht="15.75" customHeight="1">
      <c r="A122" s="110"/>
      <c r="B122" s="165"/>
      <c r="C122" s="165"/>
      <c r="D122" s="165"/>
      <c r="E122" s="165"/>
      <c r="F122" s="165"/>
      <c r="G122" s="165"/>
      <c r="H122" s="165"/>
    </row>
    <row r="123" ht="15.75" customHeight="1">
      <c r="A123" s="110"/>
      <c r="B123" s="165"/>
      <c r="C123" s="165"/>
      <c r="D123" s="165"/>
      <c r="E123" s="165"/>
      <c r="F123" s="165"/>
      <c r="G123" s="165"/>
      <c r="H123" s="165"/>
    </row>
    <row r="124" ht="15.75" customHeight="1">
      <c r="A124" s="110" t="s">
        <v>643</v>
      </c>
      <c r="B124">
        <v>50.0</v>
      </c>
    </row>
    <row r="125" ht="15.75" customHeight="1"/>
    <row r="126" ht="15.75" customHeight="1"/>
    <row r="127" ht="15.75" customHeight="1"/>
    <row r="128" ht="15.75" customHeight="1"/>
    <row r="129" ht="15.75" customHeight="1"/>
    <row r="130" ht="15.75" customHeight="1"/>
    <row r="131" ht="15.75" customHeight="1">
      <c r="A131" s="26" t="s">
        <v>644</v>
      </c>
    </row>
    <row r="132" ht="15.75" customHeight="1">
      <c r="A132" s="45"/>
      <c r="B132" s="45"/>
      <c r="C132" s="45"/>
      <c r="D132" s="45"/>
      <c r="E132" s="45"/>
      <c r="F132" s="45"/>
      <c r="G132" s="45"/>
      <c r="H132" s="45"/>
    </row>
    <row r="133" ht="15.75" customHeight="1">
      <c r="A133" s="352"/>
      <c r="B133" s="352"/>
      <c r="C133" s="352"/>
      <c r="D133" s="353">
        <v>1.0</v>
      </c>
      <c r="E133" s="354" t="str">
        <f t="shared" ref="E133:J133" si="23">(D133*5%)+D133</f>
        <v>105.00%</v>
      </c>
      <c r="F133" s="354" t="str">
        <f t="shared" si="23"/>
        <v>110.25%</v>
      </c>
      <c r="G133" s="354" t="str">
        <f t="shared" si="23"/>
        <v>115.76%</v>
      </c>
      <c r="H133" s="354" t="str">
        <f t="shared" si="23"/>
        <v>121.55%</v>
      </c>
      <c r="I133" s="354" t="str">
        <f t="shared" si="23"/>
        <v>127.63%</v>
      </c>
      <c r="J133" s="354" t="str">
        <f t="shared" si="23"/>
        <v>134.01%</v>
      </c>
    </row>
    <row r="134" ht="15.75" customHeight="1">
      <c r="A134" s="110"/>
      <c r="B134" s="110"/>
      <c r="C134" s="110"/>
      <c r="D134" s="110"/>
      <c r="E134" s="110"/>
      <c r="F134" s="110"/>
      <c r="G134" s="110"/>
      <c r="H134" s="110"/>
      <c r="I134" s="110"/>
      <c r="J134" s="110"/>
    </row>
    <row r="135" ht="15.75" customHeight="1">
      <c r="A135" s="113" t="s">
        <v>174</v>
      </c>
      <c r="B135" s="113" t="s">
        <v>125</v>
      </c>
      <c r="C135" s="113" t="s">
        <v>141</v>
      </c>
      <c r="D135" s="114" t="s">
        <v>177</v>
      </c>
      <c r="E135" s="114" t="s">
        <v>178</v>
      </c>
      <c r="F135" s="114" t="s">
        <v>179</v>
      </c>
      <c r="G135" s="114" t="s">
        <v>180</v>
      </c>
      <c r="H135" s="114" t="s">
        <v>181</v>
      </c>
      <c r="I135" s="114" t="s">
        <v>182</v>
      </c>
      <c r="J135" s="114" t="s">
        <v>183</v>
      </c>
    </row>
    <row r="136" ht="15.75" customHeight="1">
      <c r="A136" s="85"/>
      <c r="B136" s="85"/>
      <c r="C136" s="85"/>
      <c r="D136" s="85"/>
      <c r="E136" s="85"/>
      <c r="F136" s="85"/>
      <c r="G136" s="85"/>
      <c r="H136" s="85"/>
      <c r="I136" s="85"/>
      <c r="J136" s="85"/>
    </row>
    <row r="137" ht="15.75" customHeight="1">
      <c r="A137" s="117" t="s">
        <v>377</v>
      </c>
      <c r="B137" s="117"/>
      <c r="C137" s="117"/>
      <c r="D137" s="180"/>
      <c r="E137" s="180"/>
      <c r="F137" s="180"/>
      <c r="G137" s="180"/>
      <c r="H137" s="180"/>
      <c r="I137" s="85"/>
      <c r="J137" s="85"/>
    </row>
    <row r="138" ht="15.75" customHeight="1">
      <c r="A138" s="117" t="s">
        <v>645</v>
      </c>
      <c r="B138" s="117"/>
      <c r="C138" s="117"/>
      <c r="D138" s="85"/>
      <c r="E138" s="85"/>
      <c r="F138" s="85"/>
      <c r="G138" s="85"/>
      <c r="H138" s="85"/>
      <c r="I138" s="85"/>
      <c r="J138" s="85"/>
    </row>
    <row r="139" ht="15.75" customHeight="1">
      <c r="A139" s="351" t="str">
        <f>+'12.Facility 1 - Trading'!A178</f>
        <v> Soybean</v>
      </c>
      <c r="B139" s="72" t="s">
        <v>646</v>
      </c>
      <c r="C139" s="72">
        <v>65.0</v>
      </c>
      <c r="D139" s="116" t="str">
        <f>(((B95*100)*(1-'5.Closing Stock &amp; W Capital'!$D$16))/$B$124)*$C$139*D133</f>
        <v>  197,839 </v>
      </c>
      <c r="E139" s="116" t="str">
        <f>E133*((((C95*100)*(1-'5.Closing Stock &amp; W Capital'!$D$16))+((B95*100)*'5.Closing Stock &amp; W Capital'!$D$16))/$B$124)*$C$139</f>
        <v>  450,083 </v>
      </c>
      <c r="F139" s="116" t="str">
        <f>F133*((((D95*100)*(1-'5.Closing Stock &amp; W Capital'!$D$16))+((C95*100)*'5.Closing Stock &amp; W Capital'!$D$16))/$B$124)*$C$139</f>
        <v>  654,352 </v>
      </c>
      <c r="G139" s="116" t="str">
        <f>G133*((((E95*100)*(1-'5.Closing Stock &amp; W Capital'!$D$16))+((D95*100)*'5.Closing Stock &amp; W Capital'!$D$16))/$B$124)*$C$139</f>
        <v>  877,922 </v>
      </c>
      <c r="H139" s="116" t="str">
        <f>H133*((((F95*100)*(1-'5.Closing Stock &amp; W Capital'!$D$16))+((E95*100)*'5.Closing Stock &amp; W Capital'!$D$16))/$B$124)*$C$139</f>
        <v>  1,122,213 </v>
      </c>
      <c r="I139" s="116" t="str">
        <f>I133*((((G95*100)*(1-'5.Closing Stock &amp; W Capital'!$D$16))+((F95*100)*'5.Closing Stock &amp; W Capital'!$D$16))/$B$124)*$C$139</f>
        <v>  1,388,739 </v>
      </c>
      <c r="J139" s="116" t="str">
        <f>J133*((((H95*100)*(1-'5.Closing Stock &amp; W Capital'!$D$16))+((G95*100)*'5.Closing Stock &amp; W Capital'!$D$16))/$B$124)*$C$139</f>
        <v>  1,679,112 </v>
      </c>
    </row>
    <row r="140" ht="15.75" customHeight="1">
      <c r="A140" s="351" t="str">
        <f>+'12.Facility 1 - Trading'!A179</f>
        <v> Redgram</v>
      </c>
      <c r="B140" s="72" t="s">
        <v>646</v>
      </c>
      <c r="C140" s="72">
        <v>65.0</v>
      </c>
      <c r="D140" s="116" t="str">
        <f>(((B63*100)*(1-'5.Closing Stock &amp; W Capital'!$D$16))/B124)*$C$140*D133</f>
        <v>  23,552 </v>
      </c>
      <c r="E140" s="116" t="str">
        <f>((((C63*100)*(1-'5.Closing Stock &amp; W Capital'!$D$16))+((B63*100)*'5.Closing Stock &amp; W Capital'!$D$16))/$B$124)*$C$140*E133</f>
        <v>  53,581 </v>
      </c>
      <c r="F140" s="116" t="str">
        <f>((((D63*100)*(1-'5.Closing Stock &amp; W Capital'!$D$16))+((C63*100)*'5.Closing Stock &amp; W Capital'!$D$16))/$B$124)*$C$140*F133</f>
        <v>  77,899 </v>
      </c>
      <c r="G140" s="116" t="str">
        <f>((((E63*100)*(1-'5.Closing Stock &amp; W Capital'!$D$16))+((D63*100)*'5.Closing Stock &amp; W Capital'!$D$16))/$B$124)*$C$140*G133</f>
        <v>  104,515 </v>
      </c>
      <c r="H140" s="116" t="str">
        <f>((((F63*100)*(1-'5.Closing Stock &amp; W Capital'!$D$16))+((E63*100)*'5.Closing Stock &amp; W Capital'!$D$16))/$B$124)*$C$140*H133</f>
        <v>  133,597 </v>
      </c>
      <c r="I140" s="116" t="str">
        <f>((((G63*100)*(1-'5.Closing Stock &amp; W Capital'!$D$16))+((F63*100)*'5.Closing Stock &amp; W Capital'!$D$16))/$B$124)*$C$140*I133</f>
        <v>  165,326 </v>
      </c>
      <c r="J140" s="116" t="str">
        <f>((((H63*100)*(1-'5.Closing Stock &amp; W Capital'!$D$16))+((G63*100)*'5.Closing Stock &amp; W Capital'!$D$16))/$B$124)*$C$140*J133</f>
        <v>  199,894 </v>
      </c>
    </row>
    <row r="141" ht="15.75" customHeight="1">
      <c r="A141" s="351" t="str">
        <f>+'12.Facility 1 - Trading'!A180</f>
        <v> Turmeric</v>
      </c>
      <c r="B141" s="72" t="s">
        <v>646</v>
      </c>
      <c r="C141" s="72">
        <v>100.0</v>
      </c>
      <c r="D141" s="116" t="str">
        <f>(((B78*100)*(1-'5.Closing Stock &amp; W Capital'!D16))/$B$124)*$C$141*D133</f>
        <v>  -   </v>
      </c>
      <c r="E141" s="116" t="str">
        <f>((((C78*100)*(1-'5.Closing Stock &amp; W Capital'!$D$16))+((B78*100)*'5.Closing Stock &amp; W Capital'!$D$16))/$B$124)*$C$141*E133</f>
        <v>  -   </v>
      </c>
      <c r="F141" s="116" t="str">
        <f>((((D78*100)*(1-'5.Closing Stock &amp; W Capital'!$D$16))+((C78*100)*'5.Closing Stock &amp; W Capital'!$D$16))/$B$124)*$C$141*F133</f>
        <v>  -   </v>
      </c>
      <c r="G141" s="116" t="str">
        <f>((((E78*100)*(1-'5.Closing Stock &amp; W Capital'!$D$16))+((D78*100)*'5.Closing Stock &amp; W Capital'!$D$16))/$B$124)*$C$141*G133</f>
        <v>  -   </v>
      </c>
      <c r="H141" s="116" t="str">
        <f>((((F78*100)*(1-'5.Closing Stock &amp; W Capital'!$D$16))+((E78*100)*'5.Closing Stock &amp; W Capital'!$D$16))/$B$124)*$C$141*H133</f>
        <v>  -   </v>
      </c>
      <c r="I141" s="116" t="str">
        <f>((((G78*100)*(1-'5.Closing Stock &amp; W Capital'!$D$16))+((F78*100)*'5.Closing Stock &amp; W Capital'!$D$16))/$B$124)*$C$141*I133</f>
        <v>  -   </v>
      </c>
      <c r="J141" s="116" t="str">
        <f>((((H78*100)*(1-'5.Closing Stock &amp; W Capital'!$D$16))+((G78*100)*'5.Closing Stock &amp; W Capital'!$D$16))/$B$124)*$C$141*J133</f>
        <v>  -   </v>
      </c>
    </row>
    <row r="142" ht="15.75" customHeight="1">
      <c r="A142" s="351" t="str">
        <f>+'12.Facility 1 - Trading'!A181</f>
        <v> Bengalgram</v>
      </c>
      <c r="B142" s="72" t="s">
        <v>646</v>
      </c>
      <c r="C142" s="72">
        <v>65.0</v>
      </c>
      <c r="D142" s="116" t="str">
        <f>(((B70*100)*(1-'5.Closing Stock &amp; W Capital'!D16))/B124)*$C$142*D133</f>
        <v>  17,181 </v>
      </c>
      <c r="E142" s="116" t="str">
        <f>((((C70*100)*(1-'5.Closing Stock &amp; W Capital'!$D$16))+((B70*100)*'5.Closing Stock &amp; W Capital'!$D$16))/$B$124)*$C$142*E133</f>
        <v>  39,086 </v>
      </c>
      <c r="F142" s="116" t="str">
        <f>((((D70*100)*(1-'5.Closing Stock &amp; W Capital'!$D$16))+((C70*100)*'5.Closing Stock &amp; W Capital'!$D$16))/$B$124)*$C$142*F133</f>
        <v>  56,825 </v>
      </c>
      <c r="G142" s="116" t="str">
        <f>((((E70*100)*(1-'5.Closing Stock &amp; W Capital'!$D$16))+((D70*100)*'5.Closing Stock &amp; W Capital'!$D$16))/$B$124)*$C$142*G133</f>
        <v>  76,241 </v>
      </c>
      <c r="H142" s="116" t="str">
        <f>((((F70*100)*(1-'5.Closing Stock &amp; W Capital'!$D$16))+((E70*100)*'5.Closing Stock &amp; W Capital'!$D$16))/$B$124)*$C$142*H133</f>
        <v>  97,455 </v>
      </c>
      <c r="I142" s="116" t="str">
        <f>((((G70*100)*(1-'5.Closing Stock &amp; W Capital'!$D$16))+((F70*100)*'5.Closing Stock &amp; W Capital'!$D$16))/$B$124)*$C$142*I133</f>
        <v>  120,601 </v>
      </c>
      <c r="J142" s="116" t="str">
        <f>((((H70*100)*(1-'5.Closing Stock &amp; W Capital'!$D$16))+((G70*100)*'5.Closing Stock &amp; W Capital'!$D$16))/$B$124)*$C$142*J133</f>
        <v>  145,818 </v>
      </c>
    </row>
    <row r="143" ht="15.75" customHeight="1">
      <c r="A143" s="85"/>
      <c r="B143" s="72"/>
      <c r="C143" s="72"/>
      <c r="D143" s="116"/>
      <c r="E143" s="116"/>
      <c r="F143" s="116"/>
      <c r="G143" s="116"/>
      <c r="H143" s="116"/>
      <c r="I143" s="116"/>
      <c r="J143" s="116"/>
    </row>
    <row r="144" ht="15.75" customHeight="1">
      <c r="A144" s="85"/>
      <c r="B144" s="72"/>
      <c r="C144" s="72"/>
      <c r="D144" s="116"/>
      <c r="E144" s="116"/>
      <c r="F144" s="116"/>
      <c r="G144" s="116"/>
      <c r="H144" s="116"/>
      <c r="I144" s="116"/>
      <c r="J144" s="116"/>
    </row>
    <row r="145" ht="15.75" customHeight="1">
      <c r="A145" s="85"/>
      <c r="B145" s="72"/>
      <c r="C145" s="72"/>
      <c r="D145" s="116"/>
      <c r="E145" s="116"/>
      <c r="F145" s="116"/>
      <c r="G145" s="116"/>
      <c r="H145" s="116"/>
      <c r="I145" s="116"/>
      <c r="J145" s="116"/>
    </row>
    <row r="146" ht="15.75" customHeight="1">
      <c r="A146" s="85"/>
      <c r="B146" s="85"/>
      <c r="C146" s="85"/>
      <c r="D146" s="116"/>
      <c r="E146" s="116"/>
      <c r="F146" s="116"/>
      <c r="G146" s="116"/>
      <c r="H146" s="116"/>
      <c r="I146" s="116"/>
      <c r="J146" s="116"/>
    </row>
    <row r="147" ht="15.75" customHeight="1">
      <c r="A147" s="117" t="s">
        <v>642</v>
      </c>
      <c r="B147" s="77" t="s">
        <v>647</v>
      </c>
      <c r="C147" s="77">
        <v>10.0</v>
      </c>
      <c r="D147" s="116" t="str">
        <f t="shared" ref="D147:J147" si="24">((B63+B95+B78+B70)*100)*$C$147*D133</f>
        <v>  3,058,613 </v>
      </c>
      <c r="E147" s="116" t="str">
        <f t="shared" si="24"/>
        <v>  4,817,315 </v>
      </c>
      <c r="F147" s="116" t="str">
        <f t="shared" si="24"/>
        <v>  6,744,241 </v>
      </c>
      <c r="G147" s="116" t="str">
        <f t="shared" si="24"/>
        <v>  8,851,817 </v>
      </c>
      <c r="H147" s="116" t="str">
        <f t="shared" si="24"/>
        <v>  11,153,289 </v>
      </c>
      <c r="I147" s="116" t="str">
        <f t="shared" si="24"/>
        <v>  13,662,779 </v>
      </c>
      <c r="J147" s="116" t="str">
        <f t="shared" si="24"/>
        <v>  16,395,335 </v>
      </c>
    </row>
    <row r="148" ht="15.75" customHeight="1">
      <c r="A148" s="85"/>
      <c r="B148" s="72"/>
      <c r="C148" s="72"/>
      <c r="D148" s="116"/>
      <c r="E148" s="116"/>
      <c r="F148" s="116"/>
      <c r="G148" s="116"/>
      <c r="H148" s="116"/>
      <c r="I148" s="116"/>
      <c r="J148" s="116"/>
      <c r="K148" s="360" t="str">
        <f>[2]Output!T58*70*K133</f>
        <v>#ERROR!</v>
      </c>
    </row>
    <row r="149" ht="15.75" customHeight="1">
      <c r="A149" s="117" t="s">
        <v>617</v>
      </c>
      <c r="B149" s="77" t="s">
        <v>647</v>
      </c>
      <c r="C149" s="72">
        <v>5.0</v>
      </c>
      <c r="D149" s="116" t="str">
        <f t="shared" ref="D149:J149" si="25">(B35*100)*$C$149*D133</f>
        <v>  341,804 </v>
      </c>
      <c r="E149" s="116" t="str">
        <f t="shared" si="25"/>
        <v>  538,341 </v>
      </c>
      <c r="F149" s="116" t="str">
        <f t="shared" si="25"/>
        <v>  753,677 </v>
      </c>
      <c r="G149" s="116" t="str">
        <f t="shared" si="25"/>
        <v>  989,201 </v>
      </c>
      <c r="H149" s="116" t="str">
        <f t="shared" si="25"/>
        <v>  1,246,394 </v>
      </c>
      <c r="I149" s="116" t="str">
        <f t="shared" si="25"/>
        <v>  1,526,832 </v>
      </c>
      <c r="J149" s="116" t="str">
        <f t="shared" si="25"/>
        <v>  1,832,199 </v>
      </c>
    </row>
    <row r="150" ht="15.75" customHeight="1">
      <c r="A150" s="85"/>
      <c r="B150" s="85"/>
      <c r="C150" s="85"/>
      <c r="D150" s="116"/>
      <c r="E150" s="116"/>
      <c r="F150" s="116"/>
      <c r="G150" s="116"/>
      <c r="H150" s="116"/>
      <c r="I150" s="116"/>
      <c r="J150" s="116"/>
    </row>
    <row r="151" ht="15.75" customHeight="1">
      <c r="A151" s="117" t="s">
        <v>377</v>
      </c>
      <c r="B151" s="117"/>
      <c r="C151" s="117"/>
      <c r="D151" s="118" t="str">
        <f t="shared" ref="D151:J151" si="26">SUM(D139:D149)</f>
        <v>  3,638,988 </v>
      </c>
      <c r="E151" s="118" t="str">
        <f t="shared" si="26"/>
        <v>  5,898,407 </v>
      </c>
      <c r="F151" s="118" t="str">
        <f t="shared" si="26"/>
        <v>  8,286,995 </v>
      </c>
      <c r="G151" s="118" t="str">
        <f t="shared" si="26"/>
        <v>  10,899,695 </v>
      </c>
      <c r="H151" s="118" t="str">
        <f t="shared" si="26"/>
        <v>  13,752,948 </v>
      </c>
      <c r="I151" s="118" t="str">
        <f t="shared" si="26"/>
        <v>  16,864,277 </v>
      </c>
      <c r="J151" s="118" t="str">
        <f t="shared" si="26"/>
        <v>  20,252,357 </v>
      </c>
    </row>
    <row r="152" ht="15.75" customHeight="1">
      <c r="A152" s="85"/>
      <c r="B152" s="85"/>
      <c r="C152" s="85"/>
      <c r="D152" s="116"/>
      <c r="E152" s="116"/>
      <c r="F152" s="116"/>
      <c r="G152" s="116"/>
      <c r="H152" s="116"/>
      <c r="I152" s="116"/>
      <c r="J152" s="116"/>
    </row>
    <row r="153" ht="15.75" customHeight="1">
      <c r="A153" s="117" t="s">
        <v>618</v>
      </c>
      <c r="B153" s="117"/>
      <c r="C153" s="117"/>
      <c r="D153" s="116"/>
      <c r="E153" s="116"/>
      <c r="F153" s="116"/>
      <c r="G153" s="116"/>
      <c r="H153" s="116"/>
      <c r="I153" s="116"/>
      <c r="J153" s="116"/>
    </row>
    <row r="154" ht="15.75" customHeight="1">
      <c r="A154" s="117" t="s">
        <v>385</v>
      </c>
      <c r="B154" s="117"/>
      <c r="C154" s="85"/>
      <c r="D154" s="116"/>
      <c r="E154" s="116"/>
      <c r="F154" s="116"/>
      <c r="G154" s="116"/>
      <c r="H154" s="116"/>
      <c r="I154" s="116"/>
      <c r="J154" s="116"/>
    </row>
    <row r="155" ht="15.75" customHeight="1">
      <c r="A155" s="351" t="str">
        <f t="shared" ref="A155:A158" si="28">+A139</f>
        <v> Soybean</v>
      </c>
      <c r="B155" s="72" t="s">
        <v>646</v>
      </c>
      <c r="C155" s="115">
        <v>20.0</v>
      </c>
      <c r="D155" s="116" t="str">
        <f t="shared" ref="D155:J155" si="27">(B47)*$C$155*D133</f>
        <v>  63,410 </v>
      </c>
      <c r="E155" s="116" t="str">
        <f t="shared" si="27"/>
        <v>  99,871 </v>
      </c>
      <c r="F155" s="116" t="str">
        <f t="shared" si="27"/>
        <v>  139,819 </v>
      </c>
      <c r="G155" s="116" t="str">
        <f t="shared" si="27"/>
        <v>  183,512 </v>
      </c>
      <c r="H155" s="116" t="str">
        <f t="shared" si="27"/>
        <v>  231,225 </v>
      </c>
      <c r="I155" s="116" t="str">
        <f t="shared" si="27"/>
        <v>  283,251 </v>
      </c>
      <c r="J155" s="116" t="str">
        <f t="shared" si="27"/>
        <v>  339,901 </v>
      </c>
    </row>
    <row r="156" ht="15.75" customHeight="1">
      <c r="A156" s="351" t="str">
        <f t="shared" si="28"/>
        <v> Redgram</v>
      </c>
      <c r="B156" s="72" t="s">
        <v>646</v>
      </c>
      <c r="C156" s="115">
        <v>20.0</v>
      </c>
      <c r="D156" s="116" t="str">
        <f t="shared" ref="D156:J156" si="29">(B38)*$C$156*D133</f>
        <v>  7,549 </v>
      </c>
      <c r="E156" s="116" t="str">
        <f t="shared" si="29"/>
        <v>  11,889 </v>
      </c>
      <c r="F156" s="116" t="str">
        <f t="shared" si="29"/>
        <v>  16,645 </v>
      </c>
      <c r="G156" s="116" t="str">
        <f t="shared" si="29"/>
        <v>  21,847 </v>
      </c>
      <c r="H156" s="116" t="str">
        <f t="shared" si="29"/>
        <v>  27,527 </v>
      </c>
      <c r="I156" s="116" t="str">
        <f t="shared" si="29"/>
        <v>  33,720 </v>
      </c>
      <c r="J156" s="116" t="str">
        <f t="shared" si="29"/>
        <v>  40,464 </v>
      </c>
    </row>
    <row r="157" ht="15.75" customHeight="1">
      <c r="A157" s="351" t="str">
        <f t="shared" si="28"/>
        <v> Turmeric</v>
      </c>
      <c r="B157" s="72" t="s">
        <v>646</v>
      </c>
      <c r="C157" s="115">
        <v>35.0</v>
      </c>
      <c r="D157" s="116" t="str">
        <f t="shared" ref="D157:J157" si="30">(B42)*$C$157*D133</f>
        <v>  -   </v>
      </c>
      <c r="E157" s="116" t="str">
        <f t="shared" si="30"/>
        <v>  -   </v>
      </c>
      <c r="F157" s="116" t="str">
        <f t="shared" si="30"/>
        <v>  -   </v>
      </c>
      <c r="G157" s="116" t="str">
        <f t="shared" si="30"/>
        <v>  -   </v>
      </c>
      <c r="H157" s="116" t="str">
        <f t="shared" si="30"/>
        <v>  -   </v>
      </c>
      <c r="I157" s="116" t="str">
        <f t="shared" si="30"/>
        <v>  -   </v>
      </c>
      <c r="J157" s="116" t="str">
        <f t="shared" si="30"/>
        <v>  -   </v>
      </c>
    </row>
    <row r="158" ht="15.75" customHeight="1">
      <c r="A158" s="351" t="str">
        <f t="shared" si="28"/>
        <v> Bengalgram</v>
      </c>
      <c r="B158" s="72" t="s">
        <v>646</v>
      </c>
      <c r="C158" s="115">
        <v>30.0</v>
      </c>
      <c r="D158" s="116" t="str">
        <f t="shared" ref="D158:J158" si="31">(B40)*$C$158*D133</f>
        <v>  8,260 </v>
      </c>
      <c r="E158" s="116" t="str">
        <f t="shared" si="31"/>
        <v>  13,009 </v>
      </c>
      <c r="F158" s="116" t="str">
        <f t="shared" si="31"/>
        <v>  18,213 </v>
      </c>
      <c r="G158" s="116" t="str">
        <f t="shared" si="31"/>
        <v>  23,905 </v>
      </c>
      <c r="H158" s="116" t="str">
        <f t="shared" si="31"/>
        <v>  30,120 </v>
      </c>
      <c r="I158" s="116" t="str">
        <f t="shared" si="31"/>
        <v>  36,897 </v>
      </c>
      <c r="J158" s="116" t="str">
        <f t="shared" si="31"/>
        <v>  44,277 </v>
      </c>
    </row>
    <row r="159" ht="15.75" customHeight="1">
      <c r="A159" s="85"/>
      <c r="B159" s="72">
        <v>0.0</v>
      </c>
      <c r="C159" s="72">
        <v>0.0</v>
      </c>
      <c r="D159" s="116" t="str">
        <f t="shared" ref="D159:J159" si="32">(B32/10)*$B$159*$C$159*D133</f>
        <v>  -   </v>
      </c>
      <c r="E159" s="116" t="str">
        <f t="shared" si="32"/>
        <v>  -   </v>
      </c>
      <c r="F159" s="116" t="str">
        <f t="shared" si="32"/>
        <v>  -   </v>
      </c>
      <c r="G159" s="116" t="str">
        <f t="shared" si="32"/>
        <v>  -   </v>
      </c>
      <c r="H159" s="116" t="str">
        <f t="shared" si="32"/>
        <v>  -   </v>
      </c>
      <c r="I159" s="116" t="str">
        <f t="shared" si="32"/>
        <v>  -   </v>
      </c>
      <c r="J159" s="116" t="str">
        <f t="shared" si="32"/>
        <v>  -   </v>
      </c>
    </row>
    <row r="160" ht="15.75" customHeight="1">
      <c r="A160" s="85" t="s">
        <v>648</v>
      </c>
      <c r="B160" s="72">
        <v>5.0</v>
      </c>
      <c r="C160" s="72">
        <v>3500.0</v>
      </c>
      <c r="D160" s="116" t="str">
        <f t="shared" ref="D160:J160" si="33">B12*$B$160*$C$160*D133</f>
        <v>  249,232 </v>
      </c>
      <c r="E160" s="116" t="str">
        <f t="shared" si="33"/>
        <v>  392,540 </v>
      </c>
      <c r="F160" s="116" t="str">
        <f t="shared" si="33"/>
        <v>  549,556 </v>
      </c>
      <c r="G160" s="116" t="str">
        <f t="shared" si="33"/>
        <v>  721,293 </v>
      </c>
      <c r="H160" s="116" t="str">
        <f t="shared" si="33"/>
        <v>  908,829 </v>
      </c>
      <c r="I160" s="116" t="str">
        <f t="shared" si="33"/>
        <v>  1,113,315 </v>
      </c>
      <c r="J160" s="116" t="str">
        <f t="shared" si="33"/>
        <v>  1,335,978 </v>
      </c>
    </row>
    <row r="161" ht="15.75" customHeight="1">
      <c r="A161" s="85" t="s">
        <v>620</v>
      </c>
      <c r="B161" s="85" t="str">
        <f>'2.Capex Details'!H46*0.746*8</f>
        <v>0</v>
      </c>
      <c r="C161" s="72">
        <v>8.0</v>
      </c>
      <c r="D161" s="116" t="str">
        <f t="shared" ref="D161:J161" si="34">$B$161*$C$161*B12*D133</f>
        <v>  -   </v>
      </c>
      <c r="E161" s="116" t="str">
        <f t="shared" si="34"/>
        <v>  -   </v>
      </c>
      <c r="F161" s="116" t="str">
        <f t="shared" si="34"/>
        <v>  -   </v>
      </c>
      <c r="G161" s="116" t="str">
        <f t="shared" si="34"/>
        <v>  -   </v>
      </c>
      <c r="H161" s="116" t="str">
        <f t="shared" si="34"/>
        <v>  -   </v>
      </c>
      <c r="I161" s="116" t="str">
        <f t="shared" si="34"/>
        <v>  -   </v>
      </c>
      <c r="J161" s="116" t="str">
        <f t="shared" si="34"/>
        <v>  -   </v>
      </c>
    </row>
    <row r="162" ht="15.75" customHeight="1">
      <c r="A162" s="85" t="s">
        <v>649</v>
      </c>
      <c r="B162" s="85">
        <v>5.0</v>
      </c>
      <c r="C162" s="72">
        <v>10.0</v>
      </c>
      <c r="D162" s="116" t="str">
        <f t="shared" ref="D162:J162" si="35">((B35*100)/50)*$C$162*D133</f>
        <v>  13,672 </v>
      </c>
      <c r="E162" s="116" t="str">
        <f t="shared" si="35"/>
        <v>  21,534 </v>
      </c>
      <c r="F162" s="116" t="str">
        <f t="shared" si="35"/>
        <v>  30,147 </v>
      </c>
      <c r="G162" s="116" t="str">
        <f t="shared" si="35"/>
        <v>  39,568 </v>
      </c>
      <c r="H162" s="116" t="str">
        <f t="shared" si="35"/>
        <v>  49,856 </v>
      </c>
      <c r="I162" s="116" t="str">
        <f t="shared" si="35"/>
        <v>  61,073 </v>
      </c>
      <c r="J162" s="116" t="str">
        <f t="shared" si="35"/>
        <v>  73,288 </v>
      </c>
    </row>
    <row r="163" ht="15.75" customHeight="1">
      <c r="A163" s="279" t="s">
        <v>650</v>
      </c>
      <c r="B163" s="279">
        <v>5.0</v>
      </c>
      <c r="C163" s="361">
        <v>20.0</v>
      </c>
      <c r="D163" s="116" t="str">
        <f t="shared" ref="D163:J163" si="36">(((B78+B69+B95+B63)*100)/50)*$C$163*D133</f>
        <v>  113,534 </v>
      </c>
      <c r="E163" s="116" t="str">
        <f t="shared" si="36"/>
        <v>  178,816 </v>
      </c>
      <c r="F163" s="116" t="str">
        <f t="shared" si="36"/>
        <v>  250,342 </v>
      </c>
      <c r="G163" s="116" t="str">
        <f t="shared" si="36"/>
        <v>  328,574 </v>
      </c>
      <c r="H163" s="116" t="str">
        <f t="shared" si="36"/>
        <v>  414,003 </v>
      </c>
      <c r="I163" s="116" t="str">
        <f t="shared" si="36"/>
        <v>  507,154 </v>
      </c>
      <c r="J163" s="116" t="str">
        <f t="shared" si="36"/>
        <v>  608,585 </v>
      </c>
    </row>
    <row r="164" ht="15.75" customHeight="1">
      <c r="A164" s="85" t="s">
        <v>651</v>
      </c>
      <c r="B164" s="85">
        <v>5.0</v>
      </c>
      <c r="C164" s="72">
        <v>20.0</v>
      </c>
      <c r="D164" s="116" t="str">
        <f t="shared" ref="D164:J164" si="37">(((B78+B69+B95+B63)*100)/50)*$C$164*D133</f>
        <v>  113,534 </v>
      </c>
      <c r="E164" s="116" t="str">
        <f t="shared" si="37"/>
        <v>  178,816 </v>
      </c>
      <c r="F164" s="116" t="str">
        <f t="shared" si="37"/>
        <v>  250,342 </v>
      </c>
      <c r="G164" s="116" t="str">
        <f t="shared" si="37"/>
        <v>  328,574 </v>
      </c>
      <c r="H164" s="116" t="str">
        <f t="shared" si="37"/>
        <v>  414,003 </v>
      </c>
      <c r="I164" s="116" t="str">
        <f t="shared" si="37"/>
        <v>  507,154 </v>
      </c>
      <c r="J164" s="116" t="str">
        <f t="shared" si="37"/>
        <v>  608,585 </v>
      </c>
    </row>
    <row r="165" ht="15.75" customHeight="1">
      <c r="A165" s="189"/>
      <c r="B165" s="189"/>
      <c r="C165" s="189"/>
      <c r="D165" s="189"/>
      <c r="E165" s="189"/>
      <c r="F165" s="189"/>
      <c r="G165" s="189"/>
      <c r="H165" s="189"/>
      <c r="I165" s="189"/>
      <c r="J165" s="189"/>
    </row>
    <row r="166" ht="15.75" customHeight="1">
      <c r="A166" s="189"/>
      <c r="B166" s="189"/>
      <c r="C166" s="189"/>
      <c r="D166" s="189"/>
      <c r="E166" s="189"/>
      <c r="F166" s="189"/>
      <c r="G166" s="189"/>
      <c r="H166" s="189"/>
      <c r="I166" s="189"/>
      <c r="J166" s="189"/>
    </row>
    <row r="167" ht="15.75" customHeight="1">
      <c r="A167" s="189"/>
      <c r="B167" s="189"/>
      <c r="C167" s="189"/>
      <c r="D167" s="189"/>
      <c r="E167" s="189"/>
      <c r="F167" s="189"/>
      <c r="G167" s="189"/>
      <c r="H167" s="189"/>
      <c r="I167" s="189"/>
      <c r="J167" s="189"/>
    </row>
    <row r="168" ht="15.75" customHeight="1">
      <c r="A168" s="189"/>
      <c r="B168" s="189"/>
      <c r="C168" s="189"/>
      <c r="D168" s="189"/>
      <c r="E168" s="189"/>
      <c r="F168" s="189"/>
      <c r="G168" s="189"/>
      <c r="H168" s="189"/>
      <c r="I168" s="189"/>
      <c r="J168" s="189"/>
    </row>
    <row r="169" ht="15.75" customHeight="1">
      <c r="A169" s="116" t="s">
        <v>623</v>
      </c>
      <c r="B169" s="116"/>
      <c r="C169" s="116"/>
      <c r="D169" s="116"/>
      <c r="E169" s="116" t="str">
        <f>'5.Closing Stock &amp; W Capital'!F7</f>
        <v>  182,263 </v>
      </c>
      <c r="F169" s="116" t="str">
        <f>'5.Closing Stock &amp; W Capital'!G7</f>
        <v>  287,064 </v>
      </c>
      <c r="G169" s="116" t="str">
        <f>'5.Closing Stock &amp; W Capital'!H7</f>
        <v>  401,889 </v>
      </c>
      <c r="H169" s="116" t="str">
        <f>'5.Closing Stock &amp; W Capital'!I7</f>
        <v>  527,479 </v>
      </c>
      <c r="I169" s="116" t="str">
        <f>'5.Closing Stock &amp; W Capital'!J7</f>
        <v>  664,624 </v>
      </c>
      <c r="J169" s="116" t="str">
        <f>'5.Closing Stock &amp; W Capital'!K7</f>
        <v>  814,164 </v>
      </c>
    </row>
    <row r="170" ht="15.75" customHeight="1">
      <c r="A170" s="116" t="s">
        <v>624</v>
      </c>
      <c r="B170" s="116"/>
      <c r="C170" s="116"/>
      <c r="D170" s="116" t="str">
        <f>'5.Closing Stock &amp; W Capital'!E16</f>
        <v>  182,263 </v>
      </c>
      <c r="E170" s="116" t="str">
        <f>'5.Closing Stock &amp; W Capital'!F16</f>
        <v>  287,064 </v>
      </c>
      <c r="F170" s="116" t="str">
        <f>'5.Closing Stock &amp; W Capital'!G16</f>
        <v>  401,889 </v>
      </c>
      <c r="G170" s="116" t="str">
        <f>'5.Closing Stock &amp; W Capital'!H16</f>
        <v>  527,479 </v>
      </c>
      <c r="H170" s="116" t="str">
        <f>'5.Closing Stock &amp; W Capital'!I16</f>
        <v>  664,624 </v>
      </c>
      <c r="I170" s="116" t="str">
        <f>'5.Closing Stock &amp; W Capital'!J16</f>
        <v>  814,164 </v>
      </c>
      <c r="J170" s="116" t="str">
        <f>'5.Closing Stock &amp; W Capital'!K16</f>
        <v>  976,997 </v>
      </c>
    </row>
    <row r="171" ht="15.75" customHeight="1">
      <c r="A171" s="116"/>
      <c r="B171" s="116"/>
      <c r="C171" s="116"/>
      <c r="D171" s="116"/>
      <c r="E171" s="116"/>
      <c r="F171" s="116"/>
      <c r="G171" s="116"/>
      <c r="H171" s="116"/>
      <c r="I171" s="116"/>
      <c r="J171" s="116"/>
    </row>
    <row r="172" ht="15.75" customHeight="1">
      <c r="A172" s="118" t="s">
        <v>386</v>
      </c>
      <c r="B172" s="116"/>
      <c r="C172" s="116"/>
      <c r="D172" s="118" t="str">
        <f t="shared" ref="D172:J172" si="38">SUM(D155:D169)-D170</f>
        <v>  386,928 </v>
      </c>
      <c r="E172" s="118" t="str">
        <f t="shared" si="38"/>
        <v>  791,674 </v>
      </c>
      <c r="F172" s="118" t="str">
        <f t="shared" si="38"/>
        <v>  1,140,239 </v>
      </c>
      <c r="G172" s="118" t="str">
        <f t="shared" si="38"/>
        <v>  1,521,682 </v>
      </c>
      <c r="H172" s="118" t="str">
        <f t="shared" si="38"/>
        <v>  1,938,419 </v>
      </c>
      <c r="I172" s="118" t="str">
        <f t="shared" si="38"/>
        <v>  2,393,025 </v>
      </c>
      <c r="J172" s="118" t="str">
        <f t="shared" si="38"/>
        <v>  2,888,245 </v>
      </c>
    </row>
    <row r="173" ht="15.75" customHeight="1">
      <c r="A173" s="110"/>
      <c r="B173" s="110"/>
      <c r="C173" s="110"/>
      <c r="D173" s="110"/>
      <c r="E173" s="110"/>
      <c r="F173" s="110"/>
      <c r="G173" s="110"/>
      <c r="H173" s="110"/>
      <c r="I173" s="110"/>
      <c r="J173" s="110"/>
    </row>
    <row r="174" ht="15.75" customHeight="1">
      <c r="A174" s="362" t="s">
        <v>387</v>
      </c>
      <c r="B174" s="362"/>
      <c r="C174" s="362"/>
      <c r="D174" s="118"/>
      <c r="E174" s="118"/>
      <c r="F174" s="118"/>
      <c r="G174" s="118"/>
      <c r="H174" s="118"/>
      <c r="I174" s="118"/>
      <c r="J174" s="118"/>
    </row>
    <row r="175" ht="15.75" customHeight="1">
      <c r="A175" s="85" t="s">
        <v>652</v>
      </c>
      <c r="B175" s="72">
        <v>1.0</v>
      </c>
      <c r="C175" s="115">
        <v>10000.0</v>
      </c>
      <c r="D175" s="116" t="str">
        <f t="shared" ref="D175:J175" si="39">$B$175*$C$175*12*D133</f>
        <v>  120,000 </v>
      </c>
      <c r="E175" s="116" t="str">
        <f t="shared" si="39"/>
        <v>  126,000 </v>
      </c>
      <c r="F175" s="116" t="str">
        <f t="shared" si="39"/>
        <v>  132,300 </v>
      </c>
      <c r="G175" s="116" t="str">
        <f t="shared" si="39"/>
        <v>  138,915 </v>
      </c>
      <c r="H175" s="116" t="str">
        <f t="shared" si="39"/>
        <v>  145,861 </v>
      </c>
      <c r="I175" s="116" t="str">
        <f t="shared" si="39"/>
        <v>  153,154 </v>
      </c>
      <c r="J175" s="116" t="str">
        <f t="shared" si="39"/>
        <v>  160,811 </v>
      </c>
    </row>
    <row r="176" ht="15.75" customHeight="1">
      <c r="A176" s="85"/>
      <c r="B176" s="72"/>
      <c r="C176" s="115"/>
      <c r="D176" s="116"/>
      <c r="E176" s="116"/>
      <c r="F176" s="116"/>
      <c r="G176" s="116"/>
      <c r="H176" s="116"/>
      <c r="I176" s="116"/>
      <c r="J176" s="116"/>
    </row>
    <row r="177" ht="15.75" customHeight="1">
      <c r="A177" s="85"/>
      <c r="B177" s="72"/>
      <c r="C177" s="115"/>
      <c r="D177" s="116"/>
      <c r="E177" s="116"/>
      <c r="F177" s="116"/>
      <c r="G177" s="116"/>
      <c r="H177" s="116"/>
      <c r="I177" s="116"/>
      <c r="J177" s="116"/>
    </row>
    <row r="178" ht="15.75" customHeight="1">
      <c r="A178" s="85"/>
      <c r="B178" s="72"/>
      <c r="C178" s="115"/>
      <c r="D178" s="116"/>
      <c r="E178" s="116"/>
      <c r="F178" s="116"/>
      <c r="G178" s="116"/>
      <c r="H178" s="116"/>
      <c r="I178" s="116"/>
      <c r="J178" s="116"/>
    </row>
    <row r="179" ht="15.75" customHeight="1">
      <c r="A179" s="85"/>
      <c r="B179" s="72"/>
      <c r="C179" s="115"/>
      <c r="D179" s="116"/>
      <c r="E179" s="116"/>
      <c r="F179" s="116"/>
      <c r="G179" s="116"/>
      <c r="H179" s="116"/>
      <c r="I179" s="116"/>
      <c r="J179" s="116"/>
    </row>
    <row r="180" ht="15.75" customHeight="1">
      <c r="A180" s="117" t="s">
        <v>387</v>
      </c>
      <c r="B180" s="117"/>
      <c r="C180" s="117"/>
      <c r="D180" s="118" t="str">
        <f t="shared" ref="D180:J180" si="40">SUM(D175:D179)</f>
        <v>  120,000 </v>
      </c>
      <c r="E180" s="118" t="str">
        <f t="shared" si="40"/>
        <v>  126,000 </v>
      </c>
      <c r="F180" s="118" t="str">
        <f t="shared" si="40"/>
        <v>  132,300 </v>
      </c>
      <c r="G180" s="118" t="str">
        <f t="shared" si="40"/>
        <v>  138,915 </v>
      </c>
      <c r="H180" s="118" t="str">
        <f t="shared" si="40"/>
        <v>  145,861 </v>
      </c>
      <c r="I180" s="118" t="str">
        <f t="shared" si="40"/>
        <v>  153,154 </v>
      </c>
      <c r="J180" s="118" t="str">
        <f t="shared" si="40"/>
        <v>  160,811 </v>
      </c>
    </row>
    <row r="181" ht="15.75" customHeight="1">
      <c r="A181" s="362" t="s">
        <v>653</v>
      </c>
      <c r="B181" s="362"/>
      <c r="C181" s="362"/>
      <c r="D181" s="118" t="str">
        <f t="shared" ref="D181:J181" si="41">D172+D180</f>
        <v>  506,928 </v>
      </c>
      <c r="E181" s="118" t="str">
        <f t="shared" si="41"/>
        <v>  917,674 </v>
      </c>
      <c r="F181" s="118" t="str">
        <f t="shared" si="41"/>
        <v>  1,272,539 </v>
      </c>
      <c r="G181" s="118" t="str">
        <f t="shared" si="41"/>
        <v>  1,660,597 </v>
      </c>
      <c r="H181" s="118" t="str">
        <f t="shared" si="41"/>
        <v>  2,084,280 </v>
      </c>
      <c r="I181" s="118" t="str">
        <f t="shared" si="41"/>
        <v>  2,546,179 </v>
      </c>
      <c r="J181" s="118" t="str">
        <f t="shared" si="41"/>
        <v>  3,049,057 </v>
      </c>
    </row>
    <row r="182" ht="15.75" customHeight="1">
      <c r="A182" s="85"/>
      <c r="B182" s="85"/>
      <c r="C182" s="85"/>
      <c r="D182" s="116"/>
      <c r="E182" s="116"/>
      <c r="F182" s="116"/>
      <c r="G182" s="116"/>
      <c r="H182" s="116"/>
      <c r="I182" s="116"/>
      <c r="J182" s="116"/>
    </row>
    <row r="183" ht="15.75" customHeight="1">
      <c r="A183" s="117" t="s">
        <v>434</v>
      </c>
      <c r="B183" s="117"/>
      <c r="C183" s="117"/>
      <c r="D183" s="118" t="str">
        <f t="shared" ref="D183:J183" si="42">D151-D181</f>
        <v>  3,132,061 </v>
      </c>
      <c r="E183" s="118" t="str">
        <f t="shared" si="42"/>
        <v>  4,980,733 </v>
      </c>
      <c r="F183" s="118" t="str">
        <f t="shared" si="42"/>
        <v>  7,014,455 </v>
      </c>
      <c r="G183" s="118" t="str">
        <f t="shared" si="42"/>
        <v>  9,239,098 </v>
      </c>
      <c r="H183" s="118" t="str">
        <f t="shared" si="42"/>
        <v>  11,668,669 </v>
      </c>
      <c r="I183" s="118" t="str">
        <f t="shared" si="42"/>
        <v>  14,318,099 </v>
      </c>
      <c r="J183" s="118" t="str">
        <f t="shared" si="42"/>
        <v>  17,203,300 </v>
      </c>
    </row>
    <row r="184" ht="15.75" customHeight="1">
      <c r="A184" s="275"/>
      <c r="B184" s="275"/>
      <c r="C184" s="275"/>
      <c r="D184" s="110"/>
      <c r="E184" s="110"/>
      <c r="F184" s="110"/>
      <c r="G184" s="110"/>
      <c r="H184" s="110"/>
      <c r="I184" s="110"/>
      <c r="J184" s="110"/>
    </row>
    <row r="185" ht="15.75" customHeight="1">
      <c r="A185" s="45" t="s">
        <v>654</v>
      </c>
    </row>
    <row r="186" ht="15.75" customHeight="1"/>
    <row r="187" ht="15.75" customHeight="1">
      <c r="A187" t="s">
        <v>338</v>
      </c>
    </row>
    <row r="188" ht="15.75" customHeight="1">
      <c r="A188">
        <v>1.0</v>
      </c>
      <c r="B188" t="s">
        <v>630</v>
      </c>
    </row>
    <row r="189" ht="15.75" customHeight="1">
      <c r="A189">
        <v>2.0</v>
      </c>
      <c r="B189" t="s">
        <v>631</v>
      </c>
    </row>
    <row r="190" ht="15.75" customHeight="1">
      <c r="A190">
        <v>3.0</v>
      </c>
      <c r="B190" s="110" t="s">
        <v>632</v>
      </c>
    </row>
  </sheetData>
  <mergeCells count="4">
    <mergeCell ref="A131:J131"/>
    <mergeCell ref="A3:H3"/>
    <mergeCell ref="A185:J185"/>
    <mergeCell ref="A4:H4"/>
  </mergeCells>
  <printOptions/>
  <pageMargins bottom="0.7480314960629921" footer="0.0" header="0.0" left="0.7086614173228347" right="0.7086614173228347" top="0.7480314960629921"/>
  <pageSetup paperSize="9" orientation="landscape"/>
  <colBreaks count="1" manualBreakCount="1">
    <brk id="10" man="1"/>
  </colBreaks>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43"/>
    <col customWidth="1" min="2" max="2" width="11.86"/>
    <col customWidth="1" min="3" max="3" width="12.43"/>
    <col customWidth="1" min="4" max="4" width="15.43"/>
    <col customWidth="1" min="5" max="6" width="16.0"/>
    <col customWidth="1" min="7" max="7" width="15.0"/>
    <col customWidth="1" min="8" max="8" width="16.14"/>
    <col customWidth="1" min="9" max="9" width="15.43"/>
    <col customWidth="1" min="10" max="10" width="15.29"/>
    <col customWidth="1" min="11" max="11" width="8.71"/>
  </cols>
  <sheetData>
    <row r="2">
      <c r="A2" s="26" t="s">
        <v>655</v>
      </c>
    </row>
    <row r="3">
      <c r="A3" s="26" t="s">
        <v>656</v>
      </c>
    </row>
    <row r="4">
      <c r="A4" s="110" t="s">
        <v>139</v>
      </c>
      <c r="B4" s="363">
        <v>1800.0</v>
      </c>
      <c r="C4" s="364" t="s">
        <v>657</v>
      </c>
      <c r="D4" s="364"/>
      <c r="E4" s="364"/>
      <c r="F4" s="364"/>
      <c r="G4" s="110"/>
      <c r="H4" s="110"/>
    </row>
    <row r="5">
      <c r="A5" s="110"/>
      <c r="B5" s="357"/>
      <c r="C5" s="110"/>
      <c r="D5" s="110"/>
      <c r="E5" s="110"/>
      <c r="F5" s="110"/>
      <c r="G5" s="110"/>
      <c r="H5" s="110"/>
    </row>
    <row r="6">
      <c r="A6" s="110" t="s">
        <v>658</v>
      </c>
      <c r="B6" s="365">
        <v>12.0</v>
      </c>
      <c r="C6" s="110"/>
      <c r="D6" s="365"/>
      <c r="E6" s="365"/>
      <c r="F6" s="110"/>
      <c r="G6" s="110"/>
      <c r="H6" s="110"/>
    </row>
    <row r="7">
      <c r="A7" s="110"/>
      <c r="B7" s="110"/>
      <c r="C7" s="365"/>
      <c r="D7" s="365"/>
      <c r="E7" s="365"/>
      <c r="F7" s="110"/>
      <c r="G7" s="110"/>
      <c r="H7" s="110"/>
    </row>
    <row r="8">
      <c r="A8" s="113" t="s">
        <v>84</v>
      </c>
      <c r="B8" s="114" t="s">
        <v>177</v>
      </c>
      <c r="C8" s="114" t="s">
        <v>178</v>
      </c>
      <c r="D8" s="114" t="s">
        <v>179</v>
      </c>
      <c r="E8" s="114" t="s">
        <v>180</v>
      </c>
      <c r="F8" s="114" t="s">
        <v>181</v>
      </c>
      <c r="G8" s="114" t="s">
        <v>182</v>
      </c>
      <c r="H8" s="114" t="s">
        <v>183</v>
      </c>
    </row>
    <row r="9">
      <c r="A9" s="85" t="s">
        <v>659</v>
      </c>
      <c r="B9" s="190">
        <v>0.8</v>
      </c>
      <c r="C9" s="190" t="str">
        <f t="shared" ref="C9:F9" si="1">B9+5%</f>
        <v>85%</v>
      </c>
      <c r="D9" s="190" t="str">
        <f t="shared" si="1"/>
        <v>90%</v>
      </c>
      <c r="E9" s="190" t="str">
        <f t="shared" si="1"/>
        <v>95%</v>
      </c>
      <c r="F9" s="190" t="str">
        <f t="shared" si="1"/>
        <v>100%</v>
      </c>
      <c r="G9" s="190" t="str">
        <f t="shared" ref="G9:H9" si="2">F9</f>
        <v>100%</v>
      </c>
      <c r="H9" s="190" t="str">
        <f t="shared" si="2"/>
        <v>100%</v>
      </c>
    </row>
    <row r="10">
      <c r="A10" s="117" t="s">
        <v>660</v>
      </c>
      <c r="B10" s="346" t="str">
        <f t="shared" ref="B10:H10" si="3">$B$4*B9*$B$6</f>
        <v>  17,280.00 </v>
      </c>
      <c r="C10" s="346" t="str">
        <f t="shared" si="3"/>
        <v>  18,360.00 </v>
      </c>
      <c r="D10" s="346" t="str">
        <f t="shared" si="3"/>
        <v>  19,440.00 </v>
      </c>
      <c r="E10" s="346" t="str">
        <f t="shared" si="3"/>
        <v>  20,520.00 </v>
      </c>
      <c r="F10" s="346" t="str">
        <f t="shared" si="3"/>
        <v>  21,600.00 </v>
      </c>
      <c r="G10" s="346" t="str">
        <f t="shared" si="3"/>
        <v>  21,600.00 </v>
      </c>
      <c r="H10" s="346" t="str">
        <f t="shared" si="3"/>
        <v>  21,600.00 </v>
      </c>
    </row>
    <row r="15">
      <c r="A15" s="26" t="s">
        <v>661</v>
      </c>
    </row>
    <row r="16">
      <c r="A16" s="45"/>
      <c r="B16" s="45"/>
      <c r="C16" s="45"/>
      <c r="D16" s="45"/>
      <c r="E16" s="45"/>
      <c r="F16" s="45"/>
      <c r="G16" s="45"/>
      <c r="H16" s="45"/>
    </row>
    <row r="17">
      <c r="A17" s="110"/>
      <c r="B17" s="110"/>
      <c r="C17" s="110"/>
      <c r="D17" s="111">
        <v>1.0</v>
      </c>
      <c r="E17" s="112" t="str">
        <f t="shared" ref="E17:J17" si="4">(D17*5%)+D17</f>
        <v>105.00%</v>
      </c>
      <c r="F17" s="112" t="str">
        <f t="shared" si="4"/>
        <v>110.25%</v>
      </c>
      <c r="G17" s="112" t="str">
        <f t="shared" si="4"/>
        <v>115.76%</v>
      </c>
      <c r="H17" s="112" t="str">
        <f t="shared" si="4"/>
        <v>121.55%</v>
      </c>
      <c r="I17" s="112" t="str">
        <f t="shared" si="4"/>
        <v>127.63%</v>
      </c>
      <c r="J17" s="112" t="str">
        <f t="shared" si="4"/>
        <v>134.01%</v>
      </c>
    </row>
    <row r="18">
      <c r="A18" s="113" t="s">
        <v>174</v>
      </c>
      <c r="B18" s="113" t="s">
        <v>125</v>
      </c>
      <c r="C18" s="113" t="s">
        <v>141</v>
      </c>
      <c r="D18" s="114" t="s">
        <v>177</v>
      </c>
      <c r="E18" s="114" t="s">
        <v>178</v>
      </c>
      <c r="F18" s="114" t="s">
        <v>179</v>
      </c>
      <c r="G18" s="114" t="s">
        <v>180</v>
      </c>
      <c r="H18" s="114" t="s">
        <v>181</v>
      </c>
      <c r="I18" s="114" t="s">
        <v>182</v>
      </c>
      <c r="J18" s="114" t="s">
        <v>183</v>
      </c>
    </row>
    <row r="19">
      <c r="A19" s="85"/>
      <c r="B19" s="85"/>
      <c r="C19" s="85"/>
      <c r="D19" s="85"/>
      <c r="E19" s="85"/>
      <c r="F19" s="85"/>
      <c r="G19" s="85"/>
      <c r="H19" s="85"/>
      <c r="I19" s="85"/>
      <c r="J19" s="85"/>
    </row>
    <row r="20">
      <c r="A20" s="117" t="s">
        <v>662</v>
      </c>
      <c r="B20" s="117"/>
      <c r="C20" s="117"/>
      <c r="D20" s="85"/>
      <c r="E20" s="85"/>
      <c r="F20" s="85"/>
      <c r="G20" s="85"/>
      <c r="H20" s="85"/>
      <c r="I20" s="85"/>
      <c r="J20" s="85"/>
    </row>
    <row r="21" ht="15.75" customHeight="1">
      <c r="A21" s="85" t="s">
        <v>663</v>
      </c>
      <c r="B21" s="85"/>
      <c r="C21" s="115">
        <v>250.0</v>
      </c>
      <c r="D21" s="116" t="str">
        <f t="shared" ref="D21:J21" si="5">B10*$C$21*D17</f>
        <v>  4,320,000 </v>
      </c>
      <c r="E21" s="116" t="str">
        <f t="shared" si="5"/>
        <v>  4,819,500 </v>
      </c>
      <c r="F21" s="116" t="str">
        <f t="shared" si="5"/>
        <v>  5,358,150 </v>
      </c>
      <c r="G21" s="116" t="str">
        <f t="shared" si="5"/>
        <v>  5,938,616 </v>
      </c>
      <c r="H21" s="116" t="str">
        <f t="shared" si="5"/>
        <v>  6,563,734 </v>
      </c>
      <c r="I21" s="116" t="str">
        <f t="shared" si="5"/>
        <v>  6,891,920 </v>
      </c>
      <c r="J21" s="116" t="str">
        <f t="shared" si="5"/>
        <v>  7,236,516 </v>
      </c>
    </row>
    <row r="22" ht="15.75" customHeight="1">
      <c r="A22" s="85"/>
      <c r="B22" s="85"/>
      <c r="C22" s="116"/>
      <c r="D22" s="116"/>
      <c r="E22" s="116"/>
      <c r="F22" s="116"/>
      <c r="G22" s="116"/>
      <c r="H22" s="116"/>
      <c r="I22" s="116"/>
      <c r="J22" s="116"/>
    </row>
    <row r="23" ht="15.75" customHeight="1">
      <c r="A23" s="117" t="s">
        <v>384</v>
      </c>
      <c r="B23" s="117"/>
      <c r="C23" s="118"/>
      <c r="D23" s="116" t="str">
        <f t="shared" ref="D23:J23" si="6">SUM(D21)</f>
        <v>  4,320,000 </v>
      </c>
      <c r="E23" s="116" t="str">
        <f t="shared" si="6"/>
        <v>  4,819,500 </v>
      </c>
      <c r="F23" s="116" t="str">
        <f t="shared" si="6"/>
        <v>  5,358,150 </v>
      </c>
      <c r="G23" s="116" t="str">
        <f t="shared" si="6"/>
        <v>  5,938,616 </v>
      </c>
      <c r="H23" s="116" t="str">
        <f t="shared" si="6"/>
        <v>  6,563,734 </v>
      </c>
      <c r="I23" s="116" t="str">
        <f t="shared" si="6"/>
        <v>  6,891,920 </v>
      </c>
      <c r="J23" s="116" t="str">
        <f t="shared" si="6"/>
        <v>  7,236,516 </v>
      </c>
    </row>
    <row r="24" ht="15.75" customHeight="1">
      <c r="A24" s="85"/>
      <c r="B24" s="85"/>
      <c r="C24" s="116"/>
      <c r="D24" s="116"/>
      <c r="E24" s="116"/>
      <c r="F24" s="116"/>
      <c r="G24" s="116"/>
      <c r="H24" s="116"/>
      <c r="I24" s="116"/>
      <c r="J24" s="116"/>
    </row>
    <row r="25" ht="15.75" customHeight="1">
      <c r="A25" s="117" t="s">
        <v>618</v>
      </c>
      <c r="B25" s="117"/>
      <c r="C25" s="116"/>
      <c r="D25" s="116"/>
      <c r="E25" s="116"/>
      <c r="F25" s="116"/>
      <c r="G25" s="116"/>
      <c r="H25" s="116"/>
      <c r="I25" s="116"/>
      <c r="J25" s="116"/>
    </row>
    <row r="26" ht="15.75" customHeight="1">
      <c r="A26" s="117" t="s">
        <v>385</v>
      </c>
      <c r="B26" s="117"/>
      <c r="C26" s="116"/>
      <c r="D26" s="116"/>
      <c r="E26" s="116"/>
      <c r="F26" s="116"/>
      <c r="G26" s="116"/>
      <c r="H26" s="116"/>
      <c r="I26" s="116"/>
      <c r="J26" s="116"/>
    </row>
    <row r="27" ht="15.75" customHeight="1">
      <c r="A27" s="85" t="s">
        <v>664</v>
      </c>
      <c r="B27" s="72" t="s">
        <v>657</v>
      </c>
      <c r="C27" s="115">
        <v>2.0</v>
      </c>
      <c r="D27" s="116" t="str">
        <f t="shared" ref="D27:J27" si="7">$B$4*$C$27*D17*4</f>
        <v>  14,400 </v>
      </c>
      <c r="E27" s="116" t="str">
        <f t="shared" si="7"/>
        <v>  15,120 </v>
      </c>
      <c r="F27" s="116" t="str">
        <f t="shared" si="7"/>
        <v>  15,876 </v>
      </c>
      <c r="G27" s="116" t="str">
        <f t="shared" si="7"/>
        <v>  16,670 </v>
      </c>
      <c r="H27" s="116" t="str">
        <f t="shared" si="7"/>
        <v>  17,503 </v>
      </c>
      <c r="I27" s="116" t="str">
        <f t="shared" si="7"/>
        <v>  18,378 </v>
      </c>
      <c r="J27" s="116" t="str">
        <f t="shared" si="7"/>
        <v>  19,297 </v>
      </c>
    </row>
    <row r="28" ht="15.75" customHeight="1">
      <c r="A28" s="85" t="s">
        <v>665</v>
      </c>
      <c r="B28" s="72" t="s">
        <v>657</v>
      </c>
      <c r="C28" s="115">
        <v>10.0</v>
      </c>
      <c r="D28" s="116" t="str">
        <f t="shared" ref="D28:J28" si="8">$B$4*$C$28*D17*12</f>
        <v>  216,000 </v>
      </c>
      <c r="E28" s="116" t="str">
        <f t="shared" si="8"/>
        <v>  226,800 </v>
      </c>
      <c r="F28" s="116" t="str">
        <f t="shared" si="8"/>
        <v>  238,140 </v>
      </c>
      <c r="G28" s="116" t="str">
        <f t="shared" si="8"/>
        <v>  250,047 </v>
      </c>
      <c r="H28" s="116" t="str">
        <f t="shared" si="8"/>
        <v>  262,549 </v>
      </c>
      <c r="I28" s="116" t="str">
        <f t="shared" si="8"/>
        <v>  275,677 </v>
      </c>
      <c r="J28" s="116" t="str">
        <f t="shared" si="8"/>
        <v>  289,461 </v>
      </c>
    </row>
    <row r="29" ht="15.75" customHeight="1">
      <c r="A29" s="85" t="s">
        <v>666</v>
      </c>
      <c r="B29" s="72"/>
      <c r="C29" s="115">
        <v>10000.0</v>
      </c>
      <c r="D29" s="116" t="str">
        <f t="shared" ref="D29:J29" si="9">$C$29*12*D17</f>
        <v>  120,000 </v>
      </c>
      <c r="E29" s="116" t="str">
        <f t="shared" si="9"/>
        <v>  126,000 </v>
      </c>
      <c r="F29" s="116" t="str">
        <f t="shared" si="9"/>
        <v>  132,300 </v>
      </c>
      <c r="G29" s="116" t="str">
        <f t="shared" si="9"/>
        <v>  138,915 </v>
      </c>
      <c r="H29" s="116" t="str">
        <f t="shared" si="9"/>
        <v>  145,861 </v>
      </c>
      <c r="I29" s="116" t="str">
        <f t="shared" si="9"/>
        <v>  153,154 </v>
      </c>
      <c r="J29" s="116" t="str">
        <f t="shared" si="9"/>
        <v>  160,811 </v>
      </c>
    </row>
    <row r="30" ht="15.75" customHeight="1">
      <c r="A30" s="85"/>
      <c r="B30" s="72"/>
      <c r="C30" s="115"/>
      <c r="D30" s="116"/>
      <c r="E30" s="116"/>
      <c r="F30" s="116"/>
      <c r="G30" s="116"/>
      <c r="H30" s="116"/>
      <c r="I30" s="116"/>
      <c r="J30" s="116"/>
    </row>
    <row r="31" ht="15.75" customHeight="1">
      <c r="A31" s="85"/>
      <c r="B31" s="72"/>
      <c r="C31" s="115"/>
      <c r="D31" s="116"/>
      <c r="E31" s="116"/>
      <c r="F31" s="116"/>
      <c r="G31" s="116"/>
      <c r="H31" s="116"/>
      <c r="I31" s="116"/>
      <c r="J31" s="116"/>
    </row>
    <row r="32" ht="15.75" customHeight="1">
      <c r="A32" s="85"/>
      <c r="B32" s="72"/>
      <c r="C32" s="115"/>
      <c r="D32" s="116"/>
      <c r="E32" s="116"/>
      <c r="F32" s="116"/>
      <c r="G32" s="116"/>
      <c r="H32" s="116"/>
      <c r="I32" s="116"/>
      <c r="J32" s="116"/>
    </row>
    <row r="33" ht="15.75" customHeight="1">
      <c r="A33" s="85"/>
      <c r="B33" s="72"/>
      <c r="C33" s="115"/>
      <c r="D33" s="116"/>
      <c r="E33" s="116"/>
      <c r="F33" s="116"/>
      <c r="G33" s="116"/>
      <c r="H33" s="116"/>
      <c r="I33" s="116"/>
      <c r="J33" s="116"/>
    </row>
    <row r="34" ht="15.75" customHeight="1">
      <c r="A34" s="117" t="s">
        <v>386</v>
      </c>
      <c r="B34" s="77"/>
      <c r="C34" s="355"/>
      <c r="D34" s="118" t="str">
        <f t="shared" ref="D34:J34" si="10">SUM(D27:D33)</f>
        <v>  350,400 </v>
      </c>
      <c r="E34" s="118" t="str">
        <f t="shared" si="10"/>
        <v>  367,920 </v>
      </c>
      <c r="F34" s="118" t="str">
        <f t="shared" si="10"/>
        <v>  386,316 </v>
      </c>
      <c r="G34" s="118" t="str">
        <f t="shared" si="10"/>
        <v>  405,632 </v>
      </c>
      <c r="H34" s="118" t="str">
        <f t="shared" si="10"/>
        <v>  425,913 </v>
      </c>
      <c r="I34" s="118" t="str">
        <f t="shared" si="10"/>
        <v>  447,209 </v>
      </c>
      <c r="J34" s="118" t="str">
        <f t="shared" si="10"/>
        <v>  469,570 </v>
      </c>
    </row>
    <row r="35" ht="15.75" customHeight="1">
      <c r="A35" s="117"/>
      <c r="B35" s="77"/>
      <c r="C35" s="355"/>
      <c r="D35" s="118"/>
      <c r="E35" s="118"/>
      <c r="F35" s="118"/>
      <c r="G35" s="118"/>
      <c r="H35" s="118"/>
      <c r="I35" s="118"/>
      <c r="J35" s="118"/>
    </row>
    <row r="36" ht="15.75" customHeight="1">
      <c r="A36" s="117" t="s">
        <v>387</v>
      </c>
      <c r="B36" s="72"/>
      <c r="C36" s="115"/>
      <c r="D36" s="116"/>
      <c r="E36" s="116"/>
      <c r="F36" s="116"/>
      <c r="G36" s="116"/>
      <c r="H36" s="116"/>
      <c r="I36" s="116"/>
      <c r="J36" s="116"/>
    </row>
    <row r="37" ht="15.75" customHeight="1">
      <c r="A37" s="85" t="s">
        <v>667</v>
      </c>
      <c r="B37" s="72">
        <v>1.0</v>
      </c>
      <c r="C37" s="115">
        <v>15000.0</v>
      </c>
      <c r="D37" s="116" t="str">
        <f t="shared" ref="D37:J37" si="11">$B$37*$C$37*D17*12</f>
        <v>  180,000 </v>
      </c>
      <c r="E37" s="116" t="str">
        <f t="shared" si="11"/>
        <v>  189,000 </v>
      </c>
      <c r="F37" s="116" t="str">
        <f t="shared" si="11"/>
        <v>  198,450 </v>
      </c>
      <c r="G37" s="116" t="str">
        <f t="shared" si="11"/>
        <v>  208,373 </v>
      </c>
      <c r="H37" s="116" t="str">
        <f t="shared" si="11"/>
        <v>  218,791 </v>
      </c>
      <c r="I37" s="116" t="str">
        <f t="shared" si="11"/>
        <v>  229,731 </v>
      </c>
      <c r="J37" s="116" t="str">
        <f t="shared" si="11"/>
        <v>  241,217 </v>
      </c>
    </row>
    <row r="38" ht="15.75" customHeight="1">
      <c r="A38" s="85"/>
      <c r="B38" s="72"/>
      <c r="C38" s="115"/>
      <c r="D38" s="116"/>
      <c r="E38" s="116"/>
      <c r="F38" s="116"/>
      <c r="G38" s="116"/>
      <c r="H38" s="116"/>
      <c r="I38" s="116"/>
      <c r="J38" s="116"/>
    </row>
    <row r="39" ht="15.75" customHeight="1">
      <c r="A39" s="85"/>
      <c r="B39" s="72"/>
      <c r="C39" s="115"/>
      <c r="D39" s="116"/>
      <c r="E39" s="116"/>
      <c r="F39" s="116"/>
      <c r="G39" s="116"/>
      <c r="H39" s="116"/>
      <c r="I39" s="116"/>
      <c r="J39" s="116"/>
    </row>
    <row r="40" ht="15.75" customHeight="1">
      <c r="A40" s="85"/>
      <c r="B40" s="72"/>
      <c r="C40" s="115"/>
      <c r="D40" s="116"/>
      <c r="E40" s="116"/>
      <c r="F40" s="116"/>
      <c r="G40" s="116"/>
      <c r="H40" s="116"/>
      <c r="I40" s="116"/>
      <c r="J40" s="116"/>
    </row>
    <row r="41" ht="15.75" customHeight="1">
      <c r="A41" s="85"/>
      <c r="B41" s="72"/>
      <c r="C41" s="115"/>
      <c r="D41" s="116"/>
      <c r="E41" s="116"/>
      <c r="F41" s="116"/>
      <c r="G41" s="116"/>
      <c r="H41" s="116"/>
      <c r="I41" s="116"/>
      <c r="J41" s="116"/>
    </row>
    <row r="42" ht="15.75" customHeight="1">
      <c r="A42" s="85"/>
      <c r="B42" s="72"/>
      <c r="C42" s="115"/>
      <c r="D42" s="116"/>
      <c r="E42" s="116"/>
      <c r="F42" s="116"/>
      <c r="G42" s="116"/>
      <c r="H42" s="116"/>
      <c r="I42" s="116"/>
      <c r="J42" s="116"/>
    </row>
    <row r="43" ht="15.75" customHeight="1">
      <c r="A43" s="117" t="s">
        <v>389</v>
      </c>
      <c r="B43" s="117"/>
      <c r="C43" s="118"/>
      <c r="D43" s="118" t="str">
        <f t="shared" ref="D43:J43" si="12">SUM(D37:D42)</f>
        <v>  180,000 </v>
      </c>
      <c r="E43" s="118" t="str">
        <f t="shared" si="12"/>
        <v>  189,000 </v>
      </c>
      <c r="F43" s="118" t="str">
        <f t="shared" si="12"/>
        <v>  198,450 </v>
      </c>
      <c r="G43" s="118" t="str">
        <f t="shared" si="12"/>
        <v>  208,373 </v>
      </c>
      <c r="H43" s="118" t="str">
        <f t="shared" si="12"/>
        <v>  218,791 </v>
      </c>
      <c r="I43" s="118" t="str">
        <f t="shared" si="12"/>
        <v>  229,731 </v>
      </c>
      <c r="J43" s="118" t="str">
        <f t="shared" si="12"/>
        <v>  241,217 </v>
      </c>
    </row>
    <row r="44" ht="15.75" customHeight="1">
      <c r="A44" s="117"/>
      <c r="B44" s="117"/>
      <c r="C44" s="118"/>
      <c r="D44" s="118"/>
      <c r="E44" s="118"/>
      <c r="F44" s="118"/>
      <c r="G44" s="118"/>
      <c r="H44" s="118"/>
      <c r="I44" s="118"/>
      <c r="J44" s="118"/>
    </row>
    <row r="45" ht="15.75" customHeight="1">
      <c r="A45" s="117" t="s">
        <v>626</v>
      </c>
      <c r="B45" s="117"/>
      <c r="C45" s="118"/>
      <c r="D45" s="118" t="str">
        <f t="shared" ref="D45:J45" si="13">D34+D43</f>
        <v>  530,400 </v>
      </c>
      <c r="E45" s="118" t="str">
        <f t="shared" si="13"/>
        <v>  556,920 </v>
      </c>
      <c r="F45" s="118" t="str">
        <f t="shared" si="13"/>
        <v>  584,766 </v>
      </c>
      <c r="G45" s="118" t="str">
        <f t="shared" si="13"/>
        <v>  614,004 </v>
      </c>
      <c r="H45" s="118" t="str">
        <f t="shared" si="13"/>
        <v>  644,705 </v>
      </c>
      <c r="I45" s="118" t="str">
        <f t="shared" si="13"/>
        <v>  676,940 </v>
      </c>
      <c r="J45" s="118" t="str">
        <f t="shared" si="13"/>
        <v>  710,787 </v>
      </c>
    </row>
    <row r="46" ht="15.75" customHeight="1">
      <c r="A46" s="85"/>
      <c r="B46" s="85"/>
      <c r="C46" s="116"/>
      <c r="D46" s="116"/>
      <c r="E46" s="116"/>
      <c r="F46" s="116"/>
      <c r="G46" s="116"/>
      <c r="H46" s="116"/>
      <c r="I46" s="116"/>
      <c r="J46" s="116"/>
    </row>
    <row r="47" ht="15.75" customHeight="1">
      <c r="A47" s="117" t="s">
        <v>668</v>
      </c>
      <c r="B47" s="117"/>
      <c r="C47" s="118"/>
      <c r="D47" s="118" t="str">
        <f t="shared" ref="D47:J47" si="14">D23-D45</f>
        <v>  3,789,600 </v>
      </c>
      <c r="E47" s="118" t="str">
        <f t="shared" si="14"/>
        <v>  4,262,580 </v>
      </c>
      <c r="F47" s="118" t="str">
        <f t="shared" si="14"/>
        <v>  4,773,384 </v>
      </c>
      <c r="G47" s="118" t="str">
        <f t="shared" si="14"/>
        <v>  5,324,612 </v>
      </c>
      <c r="H47" s="118" t="str">
        <f t="shared" si="14"/>
        <v>  5,919,029 </v>
      </c>
      <c r="I47" s="118" t="str">
        <f t="shared" si="14"/>
        <v>  6,214,981 </v>
      </c>
      <c r="J47" s="118" t="str">
        <f t="shared" si="14"/>
        <v>  6,525,730 </v>
      </c>
    </row>
    <row r="48" ht="15.75" customHeight="1">
      <c r="A48" s="110"/>
      <c r="B48" s="110"/>
      <c r="C48" s="110"/>
      <c r="D48" s="110"/>
      <c r="E48" s="110"/>
      <c r="F48" s="110"/>
      <c r="G48" s="110"/>
      <c r="H48" s="110"/>
      <c r="I48" s="110"/>
      <c r="J48" s="110"/>
    </row>
    <row r="49" ht="15.75" customHeight="1">
      <c r="A49" s="110"/>
    </row>
    <row r="50" ht="15.75" customHeight="1"/>
    <row r="51" ht="15.75" customHeight="1">
      <c r="A51" s="45" t="s">
        <v>654</v>
      </c>
    </row>
    <row r="52" ht="15.75" customHeight="1"/>
    <row r="53" ht="15.75" customHeight="1">
      <c r="A53" t="s">
        <v>338</v>
      </c>
    </row>
    <row r="54" ht="15.75" customHeight="1">
      <c r="A54">
        <v>1.0</v>
      </c>
      <c r="B54" t="s">
        <v>630</v>
      </c>
    </row>
    <row r="55" ht="15.75" customHeight="1">
      <c r="A55">
        <v>2.0</v>
      </c>
      <c r="B55" t="s">
        <v>631</v>
      </c>
    </row>
    <row r="56" ht="15.75" customHeight="1">
      <c r="A56">
        <v>3.0</v>
      </c>
      <c r="B56" s="110" t="s">
        <v>632</v>
      </c>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rintOptions/>
  <pageMargins bottom="0.75" footer="0.0" header="0.0" left="0.7" right="0.7" top="0.75"/>
  <pageSetup paperSize="9" scale="43"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29.43"/>
    <col customWidth="1" min="3" max="3" width="12.14"/>
    <col customWidth="1" min="4" max="4" width="10.43"/>
    <col customWidth="1" min="5" max="5" width="13.43"/>
    <col customWidth="1" min="6" max="6" width="14.0"/>
    <col customWidth="1" min="7" max="7" width="13.43"/>
    <col customWidth="1" min="8" max="9" width="14.0"/>
    <col customWidth="1" min="10" max="11" width="14.43"/>
    <col customWidth="1" min="12" max="12" width="12.14"/>
    <col customWidth="1" min="13" max="13" width="16.0"/>
    <col customWidth="1" min="14" max="14" width="23.29"/>
    <col customWidth="1" min="15" max="16" width="8.71"/>
  </cols>
  <sheetData>
    <row r="3">
      <c r="A3" s="26" t="s">
        <v>669</v>
      </c>
    </row>
    <row r="4">
      <c r="A4" s="26" t="s">
        <v>670</v>
      </c>
    </row>
    <row r="5">
      <c r="A5" s="110"/>
      <c r="B5" s="110"/>
      <c r="C5" s="110"/>
    </row>
    <row r="6">
      <c r="A6" s="110"/>
      <c r="B6" s="110"/>
      <c r="C6" s="110"/>
    </row>
    <row r="7">
      <c r="A7" s="314" t="s">
        <v>83</v>
      </c>
      <c r="B7" s="323" t="s">
        <v>671</v>
      </c>
      <c r="C7" s="323" t="s">
        <v>672</v>
      </c>
      <c r="D7" s="323" t="s">
        <v>673</v>
      </c>
      <c r="E7" s="323" t="s">
        <v>674</v>
      </c>
      <c r="F7" s="323" t="s">
        <v>675</v>
      </c>
      <c r="G7" s="323" t="s">
        <v>676</v>
      </c>
      <c r="H7" s="323" t="s">
        <v>677</v>
      </c>
      <c r="I7" s="323" t="s">
        <v>678</v>
      </c>
      <c r="J7" s="366" t="s">
        <v>679</v>
      </c>
      <c r="K7" s="323" t="s">
        <v>680</v>
      </c>
      <c r="L7" s="366" t="s">
        <v>681</v>
      </c>
      <c r="M7" s="323" t="s">
        <v>682</v>
      </c>
    </row>
    <row r="8">
      <c r="A8" s="367">
        <v>1.0</v>
      </c>
      <c r="B8" s="317" t="s">
        <v>683</v>
      </c>
      <c r="C8" s="317"/>
      <c r="D8" s="317"/>
      <c r="E8" s="317">
        <v>6.0</v>
      </c>
      <c r="F8" s="189" t="str">
        <f t="shared" ref="F8:F17" si="1">D8*E8*C8</f>
        <v>0</v>
      </c>
      <c r="G8" s="317">
        <v>4.0</v>
      </c>
      <c r="H8" s="189" t="str">
        <f t="shared" ref="H8:H12" si="2">F8/G8</f>
        <v>0</v>
      </c>
      <c r="I8" s="317">
        <v>12.0</v>
      </c>
      <c r="J8" s="189" t="str">
        <f t="shared" ref="J8:J17" si="3">H8*I8</f>
        <v>0</v>
      </c>
      <c r="K8" s="317">
        <v>3000.0</v>
      </c>
      <c r="L8" s="317">
        <v>1.0</v>
      </c>
      <c r="M8" s="189" t="str">
        <f t="shared" ref="M8:M17" si="4">D8*L8</f>
        <v>0</v>
      </c>
    </row>
    <row r="9">
      <c r="A9" s="367">
        <v>2.0</v>
      </c>
      <c r="B9" s="317" t="s">
        <v>684</v>
      </c>
      <c r="C9" s="317"/>
      <c r="D9" s="317"/>
      <c r="E9" s="317">
        <v>6.0</v>
      </c>
      <c r="F9" s="189" t="str">
        <f t="shared" si="1"/>
        <v>0</v>
      </c>
      <c r="G9" s="317">
        <v>2.0</v>
      </c>
      <c r="H9" s="189" t="str">
        <f t="shared" si="2"/>
        <v>0</v>
      </c>
      <c r="I9" s="317">
        <v>8.0</v>
      </c>
      <c r="J9" s="189" t="str">
        <f t="shared" si="3"/>
        <v>0</v>
      </c>
      <c r="K9" s="317">
        <v>1800.0</v>
      </c>
      <c r="L9" s="317">
        <v>1.0</v>
      </c>
      <c r="M9" s="189" t="str">
        <f t="shared" si="4"/>
        <v>0</v>
      </c>
    </row>
    <row r="10">
      <c r="A10" s="367">
        <v>3.0</v>
      </c>
      <c r="B10" s="317" t="s">
        <v>685</v>
      </c>
      <c r="C10" s="317"/>
      <c r="D10" s="317"/>
      <c r="E10" s="317">
        <v>6.0</v>
      </c>
      <c r="F10" s="189" t="str">
        <f t="shared" si="1"/>
        <v>0</v>
      </c>
      <c r="G10" s="317">
        <v>2.0</v>
      </c>
      <c r="H10" s="189" t="str">
        <f t="shared" si="2"/>
        <v>0</v>
      </c>
      <c r="I10" s="317">
        <v>8.0</v>
      </c>
      <c r="J10" s="189" t="str">
        <f t="shared" si="3"/>
        <v>0</v>
      </c>
      <c r="K10" s="317">
        <v>1800.0</v>
      </c>
      <c r="L10" s="317">
        <v>1.0</v>
      </c>
      <c r="M10" s="189" t="str">
        <f t="shared" si="4"/>
        <v>0</v>
      </c>
    </row>
    <row r="11">
      <c r="A11" s="367">
        <v>4.0</v>
      </c>
      <c r="B11" s="317" t="s">
        <v>686</v>
      </c>
      <c r="C11" s="317"/>
      <c r="D11" s="317"/>
      <c r="E11" s="317">
        <v>6.0</v>
      </c>
      <c r="F11" s="189" t="str">
        <f t="shared" si="1"/>
        <v>0</v>
      </c>
      <c r="G11" s="317">
        <v>2.0</v>
      </c>
      <c r="H11" s="189" t="str">
        <f t="shared" si="2"/>
        <v>0</v>
      </c>
      <c r="I11" s="317">
        <v>4.0</v>
      </c>
      <c r="J11" s="189" t="str">
        <f t="shared" si="3"/>
        <v>0</v>
      </c>
      <c r="K11" s="317">
        <v>1200.0</v>
      </c>
      <c r="L11" s="317">
        <v>1.0</v>
      </c>
      <c r="M11" s="189" t="str">
        <f t="shared" si="4"/>
        <v>0</v>
      </c>
    </row>
    <row r="12">
      <c r="A12" s="367">
        <v>5.0</v>
      </c>
      <c r="B12" s="317" t="s">
        <v>687</v>
      </c>
      <c r="C12" s="317"/>
      <c r="D12" s="317"/>
      <c r="E12" s="317">
        <v>6.0</v>
      </c>
      <c r="F12" s="189" t="str">
        <f t="shared" si="1"/>
        <v>0</v>
      </c>
      <c r="G12" s="317">
        <v>2.0</v>
      </c>
      <c r="H12" s="189" t="str">
        <f t="shared" si="2"/>
        <v>0</v>
      </c>
      <c r="I12" s="317">
        <v>10.0</v>
      </c>
      <c r="J12" s="189" t="str">
        <f t="shared" si="3"/>
        <v>0</v>
      </c>
      <c r="K12" s="317">
        <v>3000.0</v>
      </c>
      <c r="L12" s="317">
        <v>1.0</v>
      </c>
      <c r="M12" s="189" t="str">
        <f t="shared" si="4"/>
        <v>0</v>
      </c>
    </row>
    <row r="13">
      <c r="A13" s="367">
        <v>6.0</v>
      </c>
      <c r="B13" s="189"/>
      <c r="C13" s="189"/>
      <c r="D13" s="189"/>
      <c r="E13" s="189"/>
      <c r="F13" s="189" t="str">
        <f t="shared" si="1"/>
        <v>0</v>
      </c>
      <c r="G13" s="189">
        <v>0.0</v>
      </c>
      <c r="H13" s="317"/>
      <c r="I13" s="189"/>
      <c r="J13" s="189" t="str">
        <f t="shared" si="3"/>
        <v>0</v>
      </c>
      <c r="K13" s="189"/>
      <c r="L13" s="189"/>
      <c r="M13" s="189" t="str">
        <f t="shared" si="4"/>
        <v>0</v>
      </c>
    </row>
    <row r="14">
      <c r="A14" s="367">
        <v>7.0</v>
      </c>
      <c r="B14" s="189"/>
      <c r="C14" s="189"/>
      <c r="D14" s="189"/>
      <c r="E14" s="189"/>
      <c r="F14" s="189" t="str">
        <f t="shared" si="1"/>
        <v>0</v>
      </c>
      <c r="G14" s="189">
        <v>0.0</v>
      </c>
      <c r="H14" s="317"/>
      <c r="I14" s="189"/>
      <c r="J14" s="189" t="str">
        <f t="shared" si="3"/>
        <v>0</v>
      </c>
      <c r="K14" s="189"/>
      <c r="L14" s="189"/>
      <c r="M14" s="189" t="str">
        <f t="shared" si="4"/>
        <v>0</v>
      </c>
    </row>
    <row r="15">
      <c r="A15" s="367">
        <v>8.0</v>
      </c>
      <c r="B15" s="189"/>
      <c r="C15" s="189"/>
      <c r="D15" s="189"/>
      <c r="E15" s="189"/>
      <c r="F15" s="189" t="str">
        <f t="shared" si="1"/>
        <v>0</v>
      </c>
      <c r="G15" s="189">
        <v>0.0</v>
      </c>
      <c r="H15" s="317"/>
      <c r="I15" s="189"/>
      <c r="J15" s="189" t="str">
        <f t="shared" si="3"/>
        <v>0</v>
      </c>
      <c r="K15" s="189"/>
      <c r="L15" s="189"/>
      <c r="M15" s="189" t="str">
        <f t="shared" si="4"/>
        <v>0</v>
      </c>
    </row>
    <row r="16">
      <c r="A16" s="367">
        <v>9.0</v>
      </c>
      <c r="B16" s="189"/>
      <c r="C16" s="189"/>
      <c r="D16" s="189"/>
      <c r="E16" s="189"/>
      <c r="F16" s="189" t="str">
        <f t="shared" si="1"/>
        <v>0</v>
      </c>
      <c r="G16" s="189">
        <v>0.0</v>
      </c>
      <c r="H16" s="317"/>
      <c r="I16" s="189"/>
      <c r="J16" s="189" t="str">
        <f t="shared" si="3"/>
        <v>0</v>
      </c>
      <c r="K16" s="189"/>
      <c r="L16" s="189"/>
      <c r="M16" s="189" t="str">
        <f t="shared" si="4"/>
        <v>0</v>
      </c>
    </row>
    <row r="17">
      <c r="A17" s="367">
        <v>10.0</v>
      </c>
      <c r="B17" s="189"/>
      <c r="C17" s="189"/>
      <c r="D17" s="189"/>
      <c r="E17" s="189"/>
      <c r="F17" s="189" t="str">
        <f t="shared" si="1"/>
        <v>0</v>
      </c>
      <c r="G17" s="189">
        <v>0.0</v>
      </c>
      <c r="H17" s="317"/>
      <c r="I17" s="189"/>
      <c r="J17" s="189" t="str">
        <f t="shared" si="3"/>
        <v>0</v>
      </c>
      <c r="K17" s="189"/>
      <c r="L17" s="189"/>
      <c r="M17" s="189" t="str">
        <f t="shared" si="4"/>
        <v>0</v>
      </c>
    </row>
    <row r="18">
      <c r="A18" s="70"/>
      <c r="B18" s="70"/>
      <c r="C18" s="121"/>
      <c r="D18" s="121"/>
      <c r="E18" s="121"/>
      <c r="F18" s="121"/>
      <c r="G18" s="121"/>
      <c r="H18" s="121"/>
      <c r="I18" s="121"/>
      <c r="J18" s="121"/>
      <c r="K18" s="121"/>
      <c r="L18" s="121"/>
      <c r="M18" s="121"/>
    </row>
    <row r="19">
      <c r="A19" s="70"/>
      <c r="B19" s="70"/>
      <c r="C19" s="121"/>
      <c r="D19" s="121"/>
      <c r="E19" s="121"/>
      <c r="F19" s="121"/>
      <c r="G19" s="121"/>
      <c r="H19" s="121"/>
      <c r="I19" s="121"/>
      <c r="J19" s="121"/>
      <c r="K19" s="121"/>
      <c r="L19" s="121"/>
      <c r="M19" s="121"/>
    </row>
    <row r="21" ht="15.75" customHeight="1">
      <c r="A21" s="26" t="s">
        <v>688</v>
      </c>
    </row>
    <row r="22" ht="15.75" customHeight="1"/>
    <row r="23" ht="15.75" customHeight="1">
      <c r="A23" s="110"/>
      <c r="B23" s="110"/>
      <c r="C23" s="110"/>
      <c r="D23" s="110"/>
      <c r="E23" s="111">
        <v>1.0</v>
      </c>
      <c r="F23" s="112" t="str">
        <f t="shared" ref="F23:K23" si="5">(E23*5%)+E23</f>
        <v>105.00%</v>
      </c>
      <c r="G23" s="112" t="str">
        <f t="shared" si="5"/>
        <v>110.25%</v>
      </c>
      <c r="H23" s="112" t="str">
        <f t="shared" si="5"/>
        <v>115.76%</v>
      </c>
      <c r="I23" s="112" t="str">
        <f t="shared" si="5"/>
        <v>121.55%</v>
      </c>
      <c r="J23" s="112" t="str">
        <f t="shared" si="5"/>
        <v>127.63%</v>
      </c>
      <c r="K23" s="112" t="str">
        <f t="shared" si="5"/>
        <v>134.01%</v>
      </c>
    </row>
    <row r="24" ht="15.75" customHeight="1">
      <c r="A24" s="113" t="s">
        <v>174</v>
      </c>
      <c r="B24" s="113" t="s">
        <v>125</v>
      </c>
      <c r="C24" s="113" t="s">
        <v>126</v>
      </c>
      <c r="D24" s="113" t="s">
        <v>141</v>
      </c>
      <c r="E24" s="114" t="s">
        <v>177</v>
      </c>
      <c r="F24" s="114" t="s">
        <v>178</v>
      </c>
      <c r="G24" s="114" t="s">
        <v>179</v>
      </c>
      <c r="H24" s="114" t="s">
        <v>180</v>
      </c>
      <c r="I24" s="114" t="s">
        <v>181</v>
      </c>
      <c r="J24" s="114" t="s">
        <v>182</v>
      </c>
      <c r="K24" s="114" t="s">
        <v>183</v>
      </c>
    </row>
    <row r="25" ht="15.75" customHeight="1">
      <c r="A25" s="117"/>
      <c r="B25" s="117"/>
      <c r="C25" s="117"/>
      <c r="D25" s="117"/>
      <c r="E25" s="85"/>
      <c r="F25" s="85"/>
      <c r="G25" s="85"/>
      <c r="H25" s="85"/>
      <c r="I25" s="85"/>
      <c r="J25" s="85"/>
      <c r="K25" s="85"/>
    </row>
    <row r="26" ht="15.75" customHeight="1">
      <c r="A26" s="117" t="s">
        <v>377</v>
      </c>
      <c r="B26" s="117"/>
      <c r="C26" s="117"/>
      <c r="D26" s="117"/>
      <c r="E26" s="85"/>
      <c r="F26" s="85"/>
      <c r="G26" s="85"/>
      <c r="H26" s="85"/>
      <c r="I26" s="85"/>
      <c r="J26" s="85"/>
      <c r="K26" s="85"/>
      <c r="P26" s="110"/>
    </row>
    <row r="27" ht="15.75" customHeight="1">
      <c r="A27" s="362" t="s">
        <v>689</v>
      </c>
      <c r="B27" s="279"/>
      <c r="C27" s="279"/>
      <c r="D27" s="279"/>
      <c r="E27" s="116"/>
      <c r="F27" s="116"/>
      <c r="G27" s="116"/>
      <c r="H27" s="116"/>
      <c r="I27" s="116"/>
      <c r="J27" s="116"/>
      <c r="K27" s="116"/>
      <c r="P27" s="110"/>
    </row>
    <row r="28" ht="15.75" customHeight="1">
      <c r="A28" s="279" t="str">
        <f t="shared" ref="A28:A32" si="7">B8</f>
        <v>Double Plough</v>
      </c>
      <c r="B28" s="279"/>
      <c r="C28" s="279" t="str">
        <f t="shared" ref="C28:C38" si="8">H8</f>
        <v>0</v>
      </c>
      <c r="D28" s="279" t="str">
        <f t="shared" ref="D28:D38" si="9">K8</f>
        <v>3000</v>
      </c>
      <c r="E28" s="116" t="str">
        <f t="shared" ref="E28:K28" si="6">$C$28*$D$28*E23</f>
        <v>  -   </v>
      </c>
      <c r="F28" s="116" t="str">
        <f t="shared" si="6"/>
        <v>  -   </v>
      </c>
      <c r="G28" s="116" t="str">
        <f t="shared" si="6"/>
        <v>  -   </v>
      </c>
      <c r="H28" s="116" t="str">
        <f t="shared" si="6"/>
        <v>  -   </v>
      </c>
      <c r="I28" s="116" t="str">
        <f t="shared" si="6"/>
        <v>  -   </v>
      </c>
      <c r="J28" s="116" t="str">
        <f t="shared" si="6"/>
        <v>  -   </v>
      </c>
      <c r="K28" s="116" t="str">
        <f t="shared" si="6"/>
        <v>  -   </v>
      </c>
      <c r="P28" s="110"/>
    </row>
    <row r="29" ht="15.75" customHeight="1">
      <c r="A29" s="279" t="str">
        <f t="shared" si="7"/>
        <v>Cultivator</v>
      </c>
      <c r="B29" s="279"/>
      <c r="C29" s="279" t="str">
        <f t="shared" si="8"/>
        <v>0</v>
      </c>
      <c r="D29" s="279" t="str">
        <f t="shared" si="9"/>
        <v>1800</v>
      </c>
      <c r="E29" s="116" t="str">
        <f t="shared" ref="E29:K29" si="10">$C$29*$D$29*E23</f>
        <v>  -   </v>
      </c>
      <c r="F29" s="116" t="str">
        <f t="shared" si="10"/>
        <v>  -   </v>
      </c>
      <c r="G29" s="116" t="str">
        <f t="shared" si="10"/>
        <v>  -   </v>
      </c>
      <c r="H29" s="116" t="str">
        <f t="shared" si="10"/>
        <v>  -   </v>
      </c>
      <c r="I29" s="116" t="str">
        <f t="shared" si="10"/>
        <v>  -   </v>
      </c>
      <c r="J29" s="116" t="str">
        <f t="shared" si="10"/>
        <v>  -   </v>
      </c>
      <c r="K29" s="116" t="str">
        <f t="shared" si="10"/>
        <v>  -   </v>
      </c>
      <c r="P29" s="110"/>
    </row>
    <row r="30" ht="15.75" customHeight="1">
      <c r="A30" s="279" t="str">
        <f t="shared" si="7"/>
        <v>Rotavator</v>
      </c>
      <c r="B30" s="279"/>
      <c r="C30" s="279" t="str">
        <f t="shared" si="8"/>
        <v>0</v>
      </c>
      <c r="D30" s="279" t="str">
        <f t="shared" si="9"/>
        <v>1800</v>
      </c>
      <c r="E30" s="116" t="str">
        <f t="shared" ref="E30:K30" si="11">$C$30*$D$30*E23</f>
        <v>  -   </v>
      </c>
      <c r="F30" s="116" t="str">
        <f t="shared" si="11"/>
        <v>  -   </v>
      </c>
      <c r="G30" s="116" t="str">
        <f t="shared" si="11"/>
        <v>  -   </v>
      </c>
      <c r="H30" s="116" t="str">
        <f t="shared" si="11"/>
        <v>  -   </v>
      </c>
      <c r="I30" s="116" t="str">
        <f t="shared" si="11"/>
        <v>  -   </v>
      </c>
      <c r="J30" s="116" t="str">
        <f t="shared" si="11"/>
        <v>  -   </v>
      </c>
      <c r="K30" s="116" t="str">
        <f t="shared" si="11"/>
        <v>  -   </v>
      </c>
      <c r="P30" s="110"/>
    </row>
    <row r="31" ht="15.75" customHeight="1">
      <c r="A31" s="279" t="str">
        <f t="shared" si="7"/>
        <v>BBF Seed Sowing Machine</v>
      </c>
      <c r="B31" s="279"/>
      <c r="C31" s="279" t="str">
        <f t="shared" si="8"/>
        <v>0</v>
      </c>
      <c r="D31" s="279" t="str">
        <f t="shared" si="9"/>
        <v>1200</v>
      </c>
      <c r="E31" s="116" t="str">
        <f t="shared" ref="E31:K31" si="12">$C$31*$D$31*E23</f>
        <v>  -   </v>
      </c>
      <c r="F31" s="116" t="str">
        <f t="shared" si="12"/>
        <v>  -   </v>
      </c>
      <c r="G31" s="116" t="str">
        <f t="shared" si="12"/>
        <v>  -   </v>
      </c>
      <c r="H31" s="116" t="str">
        <f t="shared" si="12"/>
        <v>  -   </v>
      </c>
      <c r="I31" s="116" t="str">
        <f t="shared" si="12"/>
        <v>  -   </v>
      </c>
      <c r="J31" s="116" t="str">
        <f t="shared" si="12"/>
        <v>  -   </v>
      </c>
      <c r="K31" s="116" t="str">
        <f t="shared" si="12"/>
        <v>  -   </v>
      </c>
      <c r="P31" s="110"/>
    </row>
    <row r="32" ht="15.75" customHeight="1">
      <c r="A32" s="279" t="str">
        <f t="shared" si="7"/>
        <v>Mobile Threshing</v>
      </c>
      <c r="B32" s="279"/>
      <c r="C32" s="279" t="str">
        <f t="shared" si="8"/>
        <v>0</v>
      </c>
      <c r="D32" s="279" t="str">
        <f t="shared" si="9"/>
        <v>3000</v>
      </c>
      <c r="E32" s="116" t="str">
        <f t="shared" ref="E32:K32" si="13">$C$32*$D$32*E23</f>
        <v>  -   </v>
      </c>
      <c r="F32" s="116" t="str">
        <f t="shared" si="13"/>
        <v>  -   </v>
      </c>
      <c r="G32" s="116" t="str">
        <f t="shared" si="13"/>
        <v>  -   </v>
      </c>
      <c r="H32" s="116" t="str">
        <f t="shared" si="13"/>
        <v>  -   </v>
      </c>
      <c r="I32" s="116" t="str">
        <f t="shared" si="13"/>
        <v>  -   </v>
      </c>
      <c r="J32" s="116" t="str">
        <f t="shared" si="13"/>
        <v>  -   </v>
      </c>
      <c r="K32" s="116" t="str">
        <f t="shared" si="13"/>
        <v>  -   </v>
      </c>
      <c r="P32" s="110"/>
    </row>
    <row r="33" ht="15.75" customHeight="1">
      <c r="A33" s="279"/>
      <c r="B33" s="279"/>
      <c r="C33" s="279" t="str">
        <f t="shared" si="8"/>
        <v/>
      </c>
      <c r="D33" s="279" t="str">
        <f t="shared" si="9"/>
        <v/>
      </c>
      <c r="E33" s="116" t="str">
        <f t="shared" ref="E33:K33" si="14">$C$33*$D$33*E23</f>
        <v>  -   </v>
      </c>
      <c r="F33" s="116" t="str">
        <f t="shared" si="14"/>
        <v>  -   </v>
      </c>
      <c r="G33" s="116" t="str">
        <f t="shared" si="14"/>
        <v>  -   </v>
      </c>
      <c r="H33" s="116" t="str">
        <f t="shared" si="14"/>
        <v>  -   </v>
      </c>
      <c r="I33" s="116" t="str">
        <f t="shared" si="14"/>
        <v>  -   </v>
      </c>
      <c r="J33" s="116" t="str">
        <f t="shared" si="14"/>
        <v>  -   </v>
      </c>
      <c r="K33" s="116" t="str">
        <f t="shared" si="14"/>
        <v>  -   </v>
      </c>
      <c r="P33" s="110"/>
    </row>
    <row r="34" ht="15.75" customHeight="1">
      <c r="A34" s="279"/>
      <c r="B34" s="279"/>
      <c r="C34" s="279" t="str">
        <f t="shared" si="8"/>
        <v/>
      </c>
      <c r="D34" s="279" t="str">
        <f t="shared" si="9"/>
        <v/>
      </c>
      <c r="E34" s="116" t="str">
        <f t="shared" ref="E34:K34" si="15">$C$34*$D$34*E23</f>
        <v>  -   </v>
      </c>
      <c r="F34" s="116" t="str">
        <f t="shared" si="15"/>
        <v>  -   </v>
      </c>
      <c r="G34" s="116" t="str">
        <f t="shared" si="15"/>
        <v>  -   </v>
      </c>
      <c r="H34" s="116" t="str">
        <f t="shared" si="15"/>
        <v>  -   </v>
      </c>
      <c r="I34" s="116" t="str">
        <f t="shared" si="15"/>
        <v>  -   </v>
      </c>
      <c r="J34" s="116" t="str">
        <f t="shared" si="15"/>
        <v>  -   </v>
      </c>
      <c r="K34" s="116" t="str">
        <f t="shared" si="15"/>
        <v>  -   </v>
      </c>
      <c r="P34" s="110"/>
    </row>
    <row r="35" ht="15.75" customHeight="1">
      <c r="A35" s="279"/>
      <c r="B35" s="279"/>
      <c r="C35" s="279" t="str">
        <f t="shared" si="8"/>
        <v/>
      </c>
      <c r="D35" s="279" t="str">
        <f t="shared" si="9"/>
        <v/>
      </c>
      <c r="E35" s="116" t="str">
        <f t="shared" ref="E35:K35" si="16">$C$35*$D$35*E23</f>
        <v>  -   </v>
      </c>
      <c r="F35" s="116" t="str">
        <f t="shared" si="16"/>
        <v>  -   </v>
      </c>
      <c r="G35" s="116" t="str">
        <f t="shared" si="16"/>
        <v>  -   </v>
      </c>
      <c r="H35" s="116" t="str">
        <f t="shared" si="16"/>
        <v>  -   </v>
      </c>
      <c r="I35" s="116" t="str">
        <f t="shared" si="16"/>
        <v>  -   </v>
      </c>
      <c r="J35" s="116" t="str">
        <f t="shared" si="16"/>
        <v>  -   </v>
      </c>
      <c r="K35" s="116" t="str">
        <f t="shared" si="16"/>
        <v>  -   </v>
      </c>
      <c r="P35" s="110"/>
    </row>
    <row r="36" ht="15.75" customHeight="1">
      <c r="A36" s="279"/>
      <c r="B36" s="279"/>
      <c r="C36" s="279" t="str">
        <f t="shared" si="8"/>
        <v/>
      </c>
      <c r="D36" s="279" t="str">
        <f t="shared" si="9"/>
        <v/>
      </c>
      <c r="E36" s="116" t="str">
        <f t="shared" ref="E36:K36" si="17">$C$36*$D$36*E23</f>
        <v>  -   </v>
      </c>
      <c r="F36" s="116" t="str">
        <f t="shared" si="17"/>
        <v>  -   </v>
      </c>
      <c r="G36" s="116" t="str">
        <f t="shared" si="17"/>
        <v>  -   </v>
      </c>
      <c r="H36" s="116" t="str">
        <f t="shared" si="17"/>
        <v>  -   </v>
      </c>
      <c r="I36" s="116" t="str">
        <f t="shared" si="17"/>
        <v>  -   </v>
      </c>
      <c r="J36" s="116" t="str">
        <f t="shared" si="17"/>
        <v>  -   </v>
      </c>
      <c r="K36" s="116" t="str">
        <f t="shared" si="17"/>
        <v>  -   </v>
      </c>
      <c r="P36" s="110"/>
    </row>
    <row r="37" ht="15.75" customHeight="1">
      <c r="A37" s="279"/>
      <c r="B37" s="279"/>
      <c r="C37" s="279" t="str">
        <f t="shared" si="8"/>
        <v/>
      </c>
      <c r="D37" s="279" t="str">
        <f t="shared" si="9"/>
        <v/>
      </c>
      <c r="E37" s="116" t="str">
        <f t="shared" ref="E37:K37" si="18">$C$37*$D$37*E23</f>
        <v>  -   </v>
      </c>
      <c r="F37" s="116" t="str">
        <f t="shared" si="18"/>
        <v>  -   </v>
      </c>
      <c r="G37" s="116" t="str">
        <f t="shared" si="18"/>
        <v>  -   </v>
      </c>
      <c r="H37" s="116" t="str">
        <f t="shared" si="18"/>
        <v>  -   </v>
      </c>
      <c r="I37" s="116" t="str">
        <f t="shared" si="18"/>
        <v>  -   </v>
      </c>
      <c r="J37" s="116" t="str">
        <f t="shared" si="18"/>
        <v>  -   </v>
      </c>
      <c r="K37" s="116" t="str">
        <f t="shared" si="18"/>
        <v>  -   </v>
      </c>
      <c r="P37" s="110"/>
    </row>
    <row r="38" ht="15.75" customHeight="1">
      <c r="A38" s="117"/>
      <c r="B38" s="117"/>
      <c r="C38" s="279" t="str">
        <f t="shared" si="8"/>
        <v/>
      </c>
      <c r="D38" s="279" t="str">
        <f t="shared" si="9"/>
        <v/>
      </c>
      <c r="E38" s="116" t="str">
        <f t="shared" ref="E38:K38" si="19">$C$38*$D$38*E23</f>
        <v>  -   </v>
      </c>
      <c r="F38" s="116" t="str">
        <f t="shared" si="19"/>
        <v>  -   </v>
      </c>
      <c r="G38" s="116" t="str">
        <f t="shared" si="19"/>
        <v>  -   </v>
      </c>
      <c r="H38" s="116" t="str">
        <f t="shared" si="19"/>
        <v>  -   </v>
      </c>
      <c r="I38" s="116" t="str">
        <f t="shared" si="19"/>
        <v>  -   </v>
      </c>
      <c r="J38" s="116" t="str">
        <f t="shared" si="19"/>
        <v>  -   </v>
      </c>
      <c r="K38" s="116" t="str">
        <f t="shared" si="19"/>
        <v>  -   </v>
      </c>
      <c r="P38" s="110"/>
    </row>
    <row r="39" ht="15.75" customHeight="1">
      <c r="A39" s="117" t="s">
        <v>384</v>
      </c>
      <c r="B39" s="117"/>
      <c r="C39" s="117"/>
      <c r="D39" s="117"/>
      <c r="E39" s="116" t="str">
        <f t="shared" ref="E39:K39" si="20">SUM(E28:E38)</f>
        <v>  -   </v>
      </c>
      <c r="F39" s="116" t="str">
        <f t="shared" si="20"/>
        <v>  -   </v>
      </c>
      <c r="G39" s="116" t="str">
        <f t="shared" si="20"/>
        <v>  -   </v>
      </c>
      <c r="H39" s="116" t="str">
        <f t="shared" si="20"/>
        <v>  -   </v>
      </c>
      <c r="I39" s="116" t="str">
        <f t="shared" si="20"/>
        <v>  -   </v>
      </c>
      <c r="J39" s="116" t="str">
        <f t="shared" si="20"/>
        <v>  -   </v>
      </c>
      <c r="K39" s="116" t="str">
        <f t="shared" si="20"/>
        <v>  -   </v>
      </c>
      <c r="P39" s="110"/>
    </row>
    <row r="40" ht="15.75" customHeight="1">
      <c r="A40" s="85"/>
      <c r="B40" s="85"/>
      <c r="C40" s="85"/>
      <c r="D40" s="85"/>
      <c r="E40" s="116"/>
      <c r="F40" s="116"/>
      <c r="G40" s="116"/>
      <c r="H40" s="116"/>
      <c r="I40" s="116"/>
      <c r="J40" s="116"/>
      <c r="K40" s="116"/>
      <c r="P40" s="110"/>
    </row>
    <row r="41" ht="15.75" customHeight="1">
      <c r="A41" s="117" t="s">
        <v>618</v>
      </c>
      <c r="B41" s="117"/>
      <c r="C41" s="117"/>
      <c r="D41" s="117"/>
      <c r="E41" s="116"/>
      <c r="F41" s="116"/>
      <c r="G41" s="116"/>
      <c r="H41" s="116"/>
      <c r="I41" s="116"/>
      <c r="J41" s="116"/>
      <c r="K41" s="116"/>
      <c r="P41" s="110"/>
    </row>
    <row r="42" ht="15.75" customHeight="1">
      <c r="A42" s="117" t="s">
        <v>690</v>
      </c>
      <c r="B42" s="117"/>
      <c r="C42" s="117"/>
      <c r="D42" s="117"/>
      <c r="E42" s="116"/>
      <c r="F42" s="116"/>
      <c r="G42" s="116"/>
      <c r="H42" s="116"/>
      <c r="I42" s="116"/>
      <c r="J42" s="116"/>
      <c r="K42" s="116"/>
    </row>
    <row r="43" ht="15.75" customHeight="1">
      <c r="A43" s="85" t="s">
        <v>691</v>
      </c>
      <c r="B43" s="85" t="s">
        <v>692</v>
      </c>
      <c r="C43" s="85" t="str">
        <f>SUM(J8:J17)</f>
        <v>0</v>
      </c>
      <c r="D43" s="72">
        <v>100.0</v>
      </c>
      <c r="E43" s="116" t="str">
        <f t="shared" ref="E43:K43" si="21">$C$43*$D$43*E23</f>
        <v>  -   </v>
      </c>
      <c r="F43" s="116" t="str">
        <f t="shared" si="21"/>
        <v>  -   </v>
      </c>
      <c r="G43" s="116" t="str">
        <f t="shared" si="21"/>
        <v>  -   </v>
      </c>
      <c r="H43" s="116" t="str">
        <f t="shared" si="21"/>
        <v>  -   </v>
      </c>
      <c r="I43" s="116" t="str">
        <f t="shared" si="21"/>
        <v>  -   </v>
      </c>
      <c r="J43" s="116" t="str">
        <f t="shared" si="21"/>
        <v>  -   </v>
      </c>
      <c r="K43" s="116" t="str">
        <f t="shared" si="21"/>
        <v>  -   </v>
      </c>
    </row>
    <row r="44" ht="15.75" customHeight="1">
      <c r="A44" s="85" t="s">
        <v>619</v>
      </c>
      <c r="B44" s="85" t="s">
        <v>693</v>
      </c>
      <c r="C44" s="85" t="str">
        <f>SUM(M8:M17)</f>
        <v>0</v>
      </c>
      <c r="D44" s="72">
        <v>300.0</v>
      </c>
      <c r="E44" s="116" t="str">
        <f t="shared" ref="E44:K44" si="22">$C$44*$D$44*E23</f>
        <v>  -   </v>
      </c>
      <c r="F44" s="116" t="str">
        <f t="shared" si="22"/>
        <v>  -   </v>
      </c>
      <c r="G44" s="116" t="str">
        <f t="shared" si="22"/>
        <v>  -   </v>
      </c>
      <c r="H44" s="116" t="str">
        <f t="shared" si="22"/>
        <v>  -   </v>
      </c>
      <c r="I44" s="116" t="str">
        <f t="shared" si="22"/>
        <v>  -   </v>
      </c>
      <c r="J44" s="116" t="str">
        <f t="shared" si="22"/>
        <v>  -   </v>
      </c>
      <c r="K44" s="116" t="str">
        <f t="shared" si="22"/>
        <v>  -   </v>
      </c>
    </row>
    <row r="45" ht="15.75" customHeight="1">
      <c r="A45" s="85"/>
      <c r="B45" s="85"/>
      <c r="C45" s="72"/>
      <c r="D45" s="72"/>
      <c r="E45" s="116"/>
      <c r="F45" s="116"/>
      <c r="G45" s="116"/>
      <c r="H45" s="116"/>
      <c r="I45" s="116"/>
      <c r="J45" s="116"/>
      <c r="K45" s="116"/>
    </row>
    <row r="46" ht="15.75" customHeight="1">
      <c r="A46" s="85"/>
      <c r="B46" s="85"/>
      <c r="C46" s="72"/>
      <c r="D46" s="72"/>
      <c r="E46" s="116"/>
      <c r="F46" s="116"/>
      <c r="G46" s="116"/>
      <c r="H46" s="116"/>
      <c r="I46" s="116"/>
      <c r="J46" s="116"/>
      <c r="K46" s="116"/>
    </row>
    <row r="47" ht="15.75" customHeight="1">
      <c r="A47" s="85"/>
      <c r="B47" s="85"/>
      <c r="C47" s="72"/>
      <c r="D47" s="72"/>
      <c r="E47" s="116"/>
      <c r="F47" s="116"/>
      <c r="G47" s="116"/>
      <c r="H47" s="116"/>
      <c r="I47" s="116"/>
      <c r="J47" s="116"/>
      <c r="K47" s="116"/>
    </row>
    <row r="48" ht="15.75" customHeight="1">
      <c r="A48" s="85"/>
      <c r="B48" s="85"/>
      <c r="C48" s="72"/>
      <c r="D48" s="72"/>
      <c r="E48" s="116"/>
      <c r="F48" s="116"/>
      <c r="G48" s="116"/>
      <c r="H48" s="116"/>
      <c r="I48" s="116"/>
      <c r="J48" s="116"/>
      <c r="K48" s="116"/>
    </row>
    <row r="49" ht="15.75" customHeight="1">
      <c r="A49" s="117" t="s">
        <v>386</v>
      </c>
      <c r="B49" s="117"/>
      <c r="C49" s="77"/>
      <c r="D49" s="77"/>
      <c r="E49" s="118" t="str">
        <f t="shared" ref="E49:K49" si="23">SUM(E43:E48)</f>
        <v>  -   </v>
      </c>
      <c r="F49" s="118" t="str">
        <f t="shared" si="23"/>
        <v>  -   </v>
      </c>
      <c r="G49" s="118" t="str">
        <f t="shared" si="23"/>
        <v>  -   </v>
      </c>
      <c r="H49" s="118" t="str">
        <f t="shared" si="23"/>
        <v>  -   </v>
      </c>
      <c r="I49" s="118" t="str">
        <f t="shared" si="23"/>
        <v>  -   </v>
      </c>
      <c r="J49" s="118" t="str">
        <f t="shared" si="23"/>
        <v>  -   </v>
      </c>
      <c r="K49" s="118" t="str">
        <f t="shared" si="23"/>
        <v>  -   </v>
      </c>
    </row>
    <row r="50" ht="15.75" customHeight="1">
      <c r="A50" s="117"/>
      <c r="B50" s="117"/>
      <c r="C50" s="77"/>
      <c r="D50" s="77"/>
      <c r="E50" s="118"/>
      <c r="F50" s="118"/>
      <c r="G50" s="118"/>
      <c r="H50" s="118"/>
      <c r="I50" s="118"/>
      <c r="J50" s="118"/>
      <c r="K50" s="118"/>
    </row>
    <row r="51" ht="15.75" customHeight="1">
      <c r="A51" s="362" t="s">
        <v>387</v>
      </c>
      <c r="B51" s="362"/>
      <c r="C51" s="361"/>
      <c r="D51" s="361"/>
      <c r="E51" s="116"/>
      <c r="F51" s="116"/>
      <c r="G51" s="116"/>
      <c r="H51" s="116"/>
      <c r="I51" s="116"/>
      <c r="J51" s="116"/>
      <c r="K51" s="116"/>
    </row>
    <row r="52" ht="15.75" customHeight="1">
      <c r="A52" s="279" t="s">
        <v>694</v>
      </c>
      <c r="B52" s="85" t="s">
        <v>185</v>
      </c>
      <c r="C52" s="361">
        <v>1.0</v>
      </c>
      <c r="D52" s="368"/>
      <c r="E52" s="116" t="str">
        <f t="shared" ref="E52:K52" si="24">$C$52*$D$52*12*E23</f>
        <v>  -   </v>
      </c>
      <c r="F52" s="116" t="str">
        <f t="shared" si="24"/>
        <v>  -   </v>
      </c>
      <c r="G52" s="116" t="str">
        <f t="shared" si="24"/>
        <v>  -   </v>
      </c>
      <c r="H52" s="116" t="str">
        <f t="shared" si="24"/>
        <v>  -   </v>
      </c>
      <c r="I52" s="116" t="str">
        <f t="shared" si="24"/>
        <v>  -   </v>
      </c>
      <c r="J52" s="116" t="str">
        <f t="shared" si="24"/>
        <v>  -   </v>
      </c>
      <c r="K52" s="116" t="str">
        <f t="shared" si="24"/>
        <v>  -   </v>
      </c>
    </row>
    <row r="53" ht="15.75" customHeight="1">
      <c r="A53" s="279"/>
      <c r="B53" s="279"/>
      <c r="C53" s="361"/>
      <c r="D53" s="368"/>
      <c r="E53" s="116"/>
      <c r="F53" s="116"/>
      <c r="G53" s="116"/>
      <c r="H53" s="116"/>
      <c r="I53" s="116"/>
      <c r="J53" s="116"/>
      <c r="K53" s="116"/>
    </row>
    <row r="54" ht="15.75" customHeight="1">
      <c r="A54" s="279"/>
      <c r="B54" s="279"/>
      <c r="C54" s="361"/>
      <c r="D54" s="368"/>
      <c r="E54" s="116"/>
      <c r="F54" s="116"/>
      <c r="G54" s="116"/>
      <c r="H54" s="116"/>
      <c r="I54" s="116"/>
      <c r="J54" s="116"/>
      <c r="K54" s="116"/>
    </row>
    <row r="55" ht="15.75" customHeight="1">
      <c r="A55" s="279"/>
      <c r="B55" s="279"/>
      <c r="C55" s="361"/>
      <c r="D55" s="368"/>
      <c r="E55" s="116"/>
      <c r="F55" s="116"/>
      <c r="G55" s="116"/>
      <c r="H55" s="116"/>
      <c r="I55" s="116"/>
      <c r="J55" s="116"/>
      <c r="K55" s="116"/>
    </row>
    <row r="56" ht="15.75" customHeight="1">
      <c r="A56" s="117" t="s">
        <v>389</v>
      </c>
      <c r="B56" s="117"/>
      <c r="C56" s="117"/>
      <c r="D56" s="117"/>
      <c r="E56" s="118" t="str">
        <f t="shared" ref="E56:K56" si="25">SUM(E52:E55)</f>
        <v>  -   </v>
      </c>
      <c r="F56" s="118" t="str">
        <f t="shared" si="25"/>
        <v>  -   </v>
      </c>
      <c r="G56" s="118" t="str">
        <f t="shared" si="25"/>
        <v>  -   </v>
      </c>
      <c r="H56" s="118" t="str">
        <f t="shared" si="25"/>
        <v>  -   </v>
      </c>
      <c r="I56" s="118" t="str">
        <f t="shared" si="25"/>
        <v>  -   </v>
      </c>
      <c r="J56" s="118" t="str">
        <f t="shared" si="25"/>
        <v>  -   </v>
      </c>
      <c r="K56" s="118" t="str">
        <f t="shared" si="25"/>
        <v>  -   </v>
      </c>
    </row>
    <row r="57" ht="15.75" customHeight="1">
      <c r="A57" s="117" t="s">
        <v>626</v>
      </c>
      <c r="B57" s="117"/>
      <c r="C57" s="117"/>
      <c r="D57" s="117"/>
      <c r="E57" s="118" t="str">
        <f t="shared" ref="E57:K57" si="26">E49+E56</f>
        <v>  -   </v>
      </c>
      <c r="F57" s="118" t="str">
        <f t="shared" si="26"/>
        <v>  -   </v>
      </c>
      <c r="G57" s="118" t="str">
        <f t="shared" si="26"/>
        <v>  -   </v>
      </c>
      <c r="H57" s="118" t="str">
        <f t="shared" si="26"/>
        <v>  -   </v>
      </c>
      <c r="I57" s="118" t="str">
        <f t="shared" si="26"/>
        <v>  -   </v>
      </c>
      <c r="J57" s="118" t="str">
        <f t="shared" si="26"/>
        <v>  -   </v>
      </c>
      <c r="K57" s="118" t="str">
        <f t="shared" si="26"/>
        <v>  -   </v>
      </c>
    </row>
    <row r="58" ht="15.75" customHeight="1">
      <c r="A58" s="85"/>
      <c r="B58" s="85"/>
      <c r="C58" s="85"/>
      <c r="D58" s="85"/>
      <c r="E58" s="116"/>
      <c r="F58" s="116"/>
      <c r="G58" s="116"/>
      <c r="H58" s="116"/>
      <c r="I58" s="116"/>
      <c r="J58" s="116"/>
      <c r="K58" s="116"/>
    </row>
    <row r="59" ht="15.75" customHeight="1">
      <c r="A59" s="117" t="s">
        <v>695</v>
      </c>
      <c r="B59" s="117"/>
      <c r="C59" s="117"/>
      <c r="D59" s="117"/>
      <c r="E59" s="118" t="str">
        <f t="shared" ref="E59:K59" si="27">E39-E57</f>
        <v>  -   </v>
      </c>
      <c r="F59" s="118" t="str">
        <f t="shared" si="27"/>
        <v>  -   </v>
      </c>
      <c r="G59" s="118" t="str">
        <f t="shared" si="27"/>
        <v>  -   </v>
      </c>
      <c r="H59" s="118" t="str">
        <f t="shared" si="27"/>
        <v>  -   </v>
      </c>
      <c r="I59" s="118" t="str">
        <f t="shared" si="27"/>
        <v>  -   </v>
      </c>
      <c r="J59" s="118" t="str">
        <f t="shared" si="27"/>
        <v>  -   </v>
      </c>
      <c r="K59" s="118" t="str">
        <f t="shared" si="27"/>
        <v>  -   </v>
      </c>
    </row>
    <row r="60" ht="15.75" customHeight="1">
      <c r="A60" s="275"/>
      <c r="B60" s="275"/>
      <c r="C60" s="275"/>
      <c r="D60" s="275"/>
      <c r="E60" s="369"/>
      <c r="F60" s="369"/>
      <c r="G60" s="369"/>
      <c r="H60" s="369"/>
      <c r="I60" s="369"/>
      <c r="J60" s="369"/>
      <c r="K60" s="369"/>
    </row>
    <row r="61" ht="15.75" customHeight="1">
      <c r="A61" s="110"/>
      <c r="B61" s="110"/>
      <c r="C61" s="275"/>
      <c r="D61" s="275"/>
      <c r="E61" s="369"/>
      <c r="F61" s="369"/>
      <c r="G61" s="369"/>
      <c r="H61" s="369"/>
      <c r="I61" s="369"/>
      <c r="J61" s="369"/>
      <c r="K61" s="369"/>
    </row>
    <row r="62" ht="15.75" customHeight="1">
      <c r="A62" s="45" t="s">
        <v>696</v>
      </c>
    </row>
    <row r="63" ht="15.75" customHeight="1"/>
    <row r="64" ht="15.75" customHeight="1"/>
    <row r="65" ht="15.75" customHeight="1">
      <c r="A65" t="s">
        <v>338</v>
      </c>
    </row>
    <row r="66" ht="15.75" customHeight="1">
      <c r="A66">
        <v>1.0</v>
      </c>
      <c r="B66" t="s">
        <v>630</v>
      </c>
    </row>
    <row r="67" ht="15.75" customHeight="1">
      <c r="A67">
        <v>2.0</v>
      </c>
      <c r="B67" t="s">
        <v>631</v>
      </c>
    </row>
    <row r="68" ht="15.75" customHeight="1">
      <c r="A68">
        <v>3.0</v>
      </c>
      <c r="B68" s="110" t="s">
        <v>632</v>
      </c>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rintOptions/>
  <pageMargins bottom="0.75" footer="0.0" header="0.0" left="0.7" right="0.7" top="0.75"/>
  <pageSetup paperSize="9" scale="45"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14"/>
    <col customWidth="1" min="2" max="2" width="4.43"/>
    <col customWidth="1" min="3" max="3" width="13.14"/>
    <col customWidth="1" min="4" max="4" width="13.43"/>
    <col customWidth="1" min="5" max="5" width="19.43"/>
    <col customWidth="1" min="6" max="10" width="14.71"/>
    <col customWidth="1" min="11" max="11" width="8.71"/>
    <col customWidth="1" min="12" max="12" width="27.14"/>
    <col customWidth="1" min="13" max="17" width="8.71"/>
    <col customWidth="1" min="18" max="20" width="9.43"/>
    <col customWidth="1" min="21" max="21" width="8.71"/>
    <col customWidth="1" min="22" max="22" width="9.43"/>
    <col customWidth="1" min="23" max="23" width="8.71"/>
  </cols>
  <sheetData>
    <row r="2">
      <c r="A2" s="26" t="s">
        <v>697</v>
      </c>
    </row>
    <row r="4">
      <c r="A4" s="110"/>
      <c r="B4" s="110"/>
      <c r="C4" s="110"/>
      <c r="D4" s="110"/>
      <c r="E4" s="110"/>
      <c r="F4" s="110"/>
      <c r="G4" s="110"/>
      <c r="H4" s="110"/>
      <c r="I4" s="110"/>
    </row>
    <row r="5">
      <c r="A5" s="110"/>
      <c r="B5" s="110"/>
      <c r="C5" s="110"/>
      <c r="D5" s="110"/>
      <c r="E5" s="110"/>
      <c r="F5" s="110"/>
      <c r="G5" s="110"/>
      <c r="H5" s="110"/>
      <c r="I5" s="110"/>
    </row>
    <row r="6">
      <c r="A6" s="113" t="s">
        <v>84</v>
      </c>
      <c r="B6" s="113"/>
      <c r="C6" s="114" t="s">
        <v>177</v>
      </c>
      <c r="D6" s="114" t="s">
        <v>178</v>
      </c>
      <c r="E6" s="114" t="s">
        <v>179</v>
      </c>
      <c r="F6" s="114" t="s">
        <v>180</v>
      </c>
      <c r="G6" s="114" t="s">
        <v>181</v>
      </c>
      <c r="H6" s="114" t="s">
        <v>182</v>
      </c>
      <c r="I6" s="114" t="s">
        <v>183</v>
      </c>
    </row>
    <row r="7">
      <c r="A7" s="117" t="s">
        <v>698</v>
      </c>
      <c r="B7" s="85"/>
      <c r="C7" s="85"/>
      <c r="D7" s="85"/>
      <c r="E7" s="85"/>
      <c r="F7" s="85"/>
      <c r="G7" s="85"/>
      <c r="H7" s="85"/>
      <c r="I7" s="85"/>
    </row>
    <row r="8">
      <c r="A8" s="117" t="s">
        <v>699</v>
      </c>
      <c r="B8" s="351"/>
      <c r="C8" s="351"/>
      <c r="D8" s="351"/>
      <c r="E8" s="351"/>
      <c r="F8" s="351"/>
      <c r="G8" s="351"/>
      <c r="H8" s="351"/>
      <c r="I8" s="351"/>
    </row>
    <row r="9">
      <c r="A9" s="85" t="str">
        <f>'10.Grain Production details'!A92</f>
        <v>Soybean</v>
      </c>
      <c r="B9" s="351"/>
      <c r="C9" s="351" t="str">
        <f>'10.Grain Production details'!B92</f>
        <v>  4,878 </v>
      </c>
      <c r="D9" s="351" t="str">
        <f>'10.Grain Production details'!C92</f>
        <v>  5,253 </v>
      </c>
      <c r="E9" s="351" t="str">
        <f>'10.Grain Production details'!D92</f>
        <v>  5,628 </v>
      </c>
      <c r="F9" s="351" t="str">
        <f>'10.Grain Production details'!E92</f>
        <v>  6,004 </v>
      </c>
      <c r="G9" s="351" t="str">
        <f>'10.Grain Production details'!F92</f>
        <v>  6,379 </v>
      </c>
      <c r="H9" s="351" t="str">
        <f>'10.Grain Production details'!G92</f>
        <v>  6,754 </v>
      </c>
      <c r="I9" s="351" t="str">
        <f>'10.Grain Production details'!H92</f>
        <v>  7,129 </v>
      </c>
    </row>
    <row r="10">
      <c r="A10" s="85" t="str">
        <f>'10.Grain Production details'!A93</f>
        <v>Redgram</v>
      </c>
      <c r="B10" s="351"/>
      <c r="C10" s="351" t="str">
        <f>'10.Grain Production details'!B93</f>
        <v>  287 </v>
      </c>
      <c r="D10" s="351" t="str">
        <f>'10.Grain Production details'!C93</f>
        <v>  309 </v>
      </c>
      <c r="E10" s="351" t="str">
        <f>'10.Grain Production details'!D93</f>
        <v>  331 </v>
      </c>
      <c r="F10" s="351" t="str">
        <f>'10.Grain Production details'!E93</f>
        <v>  353 </v>
      </c>
      <c r="G10" s="351" t="str">
        <f>'10.Grain Production details'!F93</f>
        <v>  375 </v>
      </c>
      <c r="H10" s="351" t="str">
        <f>'10.Grain Production details'!G93</f>
        <v>  397 </v>
      </c>
      <c r="I10" s="351" t="str">
        <f>'10.Grain Production details'!H93</f>
        <v>  419 </v>
      </c>
    </row>
    <row r="11">
      <c r="A11" s="85" t="str">
        <f>'10.Grain Production details'!A94</f>
        <v>Turmeric</v>
      </c>
      <c r="B11" s="351"/>
      <c r="C11" s="351" t="str">
        <f>'10.Grain Production details'!B94</f>
        <v>  574 </v>
      </c>
      <c r="D11" s="351" t="str">
        <f>'10.Grain Production details'!C94</f>
        <v>  618 </v>
      </c>
      <c r="E11" s="351" t="str">
        <f>'10.Grain Production details'!D94</f>
        <v>  662 </v>
      </c>
      <c r="F11" s="351" t="str">
        <f>'10.Grain Production details'!E94</f>
        <v>  706 </v>
      </c>
      <c r="G11" s="351" t="str">
        <f>'10.Grain Production details'!F94</f>
        <v>  750 </v>
      </c>
      <c r="H11" s="351" t="str">
        <f>'10.Grain Production details'!G94</f>
        <v>  795 </v>
      </c>
      <c r="I11" s="351" t="str">
        <f>'10.Grain Production details'!H94</f>
        <v>  839 </v>
      </c>
    </row>
    <row r="12">
      <c r="A12" s="85" t="str">
        <f>'10.Grain Production details'!A95</f>
        <v>Bengalgram</v>
      </c>
      <c r="B12" s="351"/>
      <c r="C12" s="351" t="str">
        <f>'10.Grain Production details'!B95</f>
        <v>  287 </v>
      </c>
      <c r="D12" s="351" t="str">
        <f>'10.Grain Production details'!C95</f>
        <v>  309 </v>
      </c>
      <c r="E12" s="351" t="str">
        <f>'10.Grain Production details'!D95</f>
        <v>  331 </v>
      </c>
      <c r="F12" s="351" t="str">
        <f>'10.Grain Production details'!E95</f>
        <v>  353 </v>
      </c>
      <c r="G12" s="351" t="str">
        <f>'10.Grain Production details'!F95</f>
        <v>  375 </v>
      </c>
      <c r="H12" s="351" t="str">
        <f>'10.Grain Production details'!G95</f>
        <v>  397 </v>
      </c>
      <c r="I12" s="351" t="str">
        <f>'10.Grain Production details'!H95</f>
        <v>  419 </v>
      </c>
    </row>
    <row r="13">
      <c r="A13" s="85" t="str">
        <f>'10.Grain Production details'!A96</f>
        <v>Channa</v>
      </c>
      <c r="B13" s="351"/>
      <c r="C13" s="351" t="str">
        <f>'10.Grain Production details'!B96</f>
        <v>  -   </v>
      </c>
      <c r="D13" s="351" t="str">
        <f>'10.Grain Production details'!C96</f>
        <v>  -   </v>
      </c>
      <c r="E13" s="351" t="str">
        <f>'10.Grain Production details'!D96</f>
        <v>  -   </v>
      </c>
      <c r="F13" s="351" t="str">
        <f>'10.Grain Production details'!E96</f>
        <v>  -   </v>
      </c>
      <c r="G13" s="351" t="str">
        <f>'10.Grain Production details'!F96</f>
        <v>  -   </v>
      </c>
      <c r="H13" s="351" t="str">
        <f>'10.Grain Production details'!G96</f>
        <v>  -   </v>
      </c>
      <c r="I13" s="351" t="str">
        <f>'10.Grain Production details'!H96</f>
        <v>  -   </v>
      </c>
    </row>
    <row r="14">
      <c r="A14" s="85" t="str">
        <f>'10.Grain Production details'!A97</f>
        <v>Udid</v>
      </c>
      <c r="B14" s="351"/>
      <c r="C14" s="351" t="str">
        <f>'10.Grain Production details'!B97</f>
        <v>  -   </v>
      </c>
      <c r="D14" s="351" t="str">
        <f>'10.Grain Production details'!C97</f>
        <v>  -   </v>
      </c>
      <c r="E14" s="351" t="str">
        <f>'10.Grain Production details'!D97</f>
        <v>  -   </v>
      </c>
      <c r="F14" s="351" t="str">
        <f>'10.Grain Production details'!E97</f>
        <v>  -   </v>
      </c>
      <c r="G14" s="351" t="str">
        <f>'10.Grain Production details'!F97</f>
        <v>  -   </v>
      </c>
      <c r="H14" s="351" t="str">
        <f>'10.Grain Production details'!G97</f>
        <v>  -   </v>
      </c>
      <c r="I14" s="351" t="str">
        <f>'10.Grain Production details'!H97</f>
        <v>  -   </v>
      </c>
    </row>
    <row r="15">
      <c r="A15" s="85" t="str">
        <f>'10.Grain Production details'!A98</f>
        <v>Bajra</v>
      </c>
      <c r="B15" s="351"/>
      <c r="C15" s="351" t="str">
        <f>'10.Grain Production details'!B98</f>
        <v>  287 </v>
      </c>
      <c r="D15" s="351" t="str">
        <f>'10.Grain Production details'!C98</f>
        <v>  309 </v>
      </c>
      <c r="E15" s="351" t="str">
        <f>'10.Grain Production details'!D98</f>
        <v>  331 </v>
      </c>
      <c r="F15" s="351" t="str">
        <f>'10.Grain Production details'!E98</f>
        <v>  353 </v>
      </c>
      <c r="G15" s="351" t="str">
        <f>'10.Grain Production details'!F98</f>
        <v>  375 </v>
      </c>
      <c r="H15" s="351" t="str">
        <f>'10.Grain Production details'!G98</f>
        <v>  397 </v>
      </c>
      <c r="I15" s="351" t="str">
        <f>'10.Grain Production details'!H98</f>
        <v>  419 </v>
      </c>
    </row>
    <row r="16">
      <c r="A16" s="85" t="str">
        <f>'10.Grain Production details'!A99</f>
        <v>Jawar</v>
      </c>
      <c r="B16" s="351"/>
      <c r="C16" s="351" t="str">
        <f>'10.Grain Production details'!B99</f>
        <v>  -   </v>
      </c>
      <c r="D16" s="351" t="str">
        <f>'10.Grain Production details'!C99</f>
        <v>  -   </v>
      </c>
      <c r="E16" s="351" t="str">
        <f>'10.Grain Production details'!D99</f>
        <v>  -   </v>
      </c>
      <c r="F16" s="351" t="str">
        <f>'10.Grain Production details'!E99</f>
        <v>  -   </v>
      </c>
      <c r="G16" s="351" t="str">
        <f>'10.Grain Production details'!F99</f>
        <v>  -   </v>
      </c>
      <c r="H16" s="351" t="str">
        <f>'10.Grain Production details'!G99</f>
        <v>  -   </v>
      </c>
      <c r="I16" s="351" t="str">
        <f>'10.Grain Production details'!H99</f>
        <v>  -   </v>
      </c>
    </row>
    <row r="17">
      <c r="A17" s="117" t="s">
        <v>700</v>
      </c>
      <c r="B17" s="351"/>
      <c r="C17" s="351"/>
      <c r="D17" s="351"/>
      <c r="E17" s="351"/>
      <c r="F17" s="351"/>
      <c r="G17" s="351"/>
      <c r="H17" s="351"/>
      <c r="I17" s="351"/>
    </row>
    <row r="18">
      <c r="A18" s="85" t="str">
        <f>'10.Grain Production details'!A101</f>
        <v>Wheat</v>
      </c>
      <c r="B18" s="351"/>
      <c r="C18" s="351" t="str">
        <f>'10.Grain Production details'!B101</f>
        <v>  516 </v>
      </c>
      <c r="D18" s="351" t="str">
        <f>'10.Grain Production details'!C101</f>
        <v>  556 </v>
      </c>
      <c r="E18" s="351" t="str">
        <f>'10.Grain Production details'!D101</f>
        <v>  596 </v>
      </c>
      <c r="F18" s="351" t="str">
        <f>'10.Grain Production details'!E101</f>
        <v>  636 </v>
      </c>
      <c r="G18" s="351" t="str">
        <f>'10.Grain Production details'!F101</f>
        <v>  675 </v>
      </c>
      <c r="H18" s="351" t="str">
        <f>'10.Grain Production details'!G101</f>
        <v>  715 </v>
      </c>
      <c r="I18" s="351" t="str">
        <f>'10.Grain Production details'!H101</f>
        <v>  755 </v>
      </c>
    </row>
    <row r="19">
      <c r="A19" s="85" t="str">
        <f>'10.Grain Production details'!A102</f>
        <v>Channa</v>
      </c>
      <c r="B19" s="351"/>
      <c r="C19" s="351" t="str">
        <f>'10.Grain Production details'!B102</f>
        <v>  2,410 </v>
      </c>
      <c r="D19" s="351" t="str">
        <f>'10.Grain Production details'!C102</f>
        <v>  2,596 </v>
      </c>
      <c r="E19" s="351" t="str">
        <f>'10.Grain Production details'!D102</f>
        <v>  2,781 </v>
      </c>
      <c r="F19" s="351" t="str">
        <f>'10.Grain Production details'!E102</f>
        <v>  2,967 </v>
      </c>
      <c r="G19" s="351" t="str">
        <f>'10.Grain Production details'!F102</f>
        <v>  3,152 </v>
      </c>
      <c r="H19" s="351" t="str">
        <f>'10.Grain Production details'!G102</f>
        <v>  3,337 </v>
      </c>
      <c r="I19" s="351" t="str">
        <f>'10.Grain Production details'!H102</f>
        <v>  3,523 </v>
      </c>
    </row>
    <row r="20">
      <c r="A20" s="85" t="str">
        <f>'10.Grain Production details'!A103</f>
        <v>Jawar</v>
      </c>
      <c r="B20" s="351"/>
      <c r="C20" s="351" t="str">
        <f>'10.Grain Production details'!B103</f>
        <v>  344 </v>
      </c>
      <c r="D20" s="351" t="str">
        <f>'10.Grain Production details'!C103</f>
        <v>  371 </v>
      </c>
      <c r="E20" s="351" t="str">
        <f>'10.Grain Production details'!D103</f>
        <v>  397 </v>
      </c>
      <c r="F20" s="351" t="str">
        <f>'10.Grain Production details'!E103</f>
        <v>  424 </v>
      </c>
      <c r="G20" s="351" t="str">
        <f>'10.Grain Production details'!F103</f>
        <v>  450 </v>
      </c>
      <c r="H20" s="351" t="str">
        <f>'10.Grain Production details'!G103</f>
        <v>  477 </v>
      </c>
      <c r="I20" s="351" t="str">
        <f>'10.Grain Production details'!H103</f>
        <v>  503 </v>
      </c>
    </row>
    <row r="21" ht="15.75" customHeight="1">
      <c r="A21" s="85" t="str">
        <f>'10.Grain Production details'!A104</f>
        <v>Maize</v>
      </c>
      <c r="B21" s="351"/>
      <c r="C21" s="351" t="str">
        <f>'10.Grain Production details'!B104</f>
        <v>  -   </v>
      </c>
      <c r="D21" s="351" t="str">
        <f>'10.Grain Production details'!C104</f>
        <v>  -   </v>
      </c>
      <c r="E21" s="351" t="str">
        <f>'10.Grain Production details'!D104</f>
        <v>  -   </v>
      </c>
      <c r="F21" s="351" t="str">
        <f>'10.Grain Production details'!E104</f>
        <v>  -   </v>
      </c>
      <c r="G21" s="351" t="str">
        <f>'10.Grain Production details'!F104</f>
        <v>  -   </v>
      </c>
      <c r="H21" s="351" t="str">
        <f>'10.Grain Production details'!G104</f>
        <v>  -   </v>
      </c>
      <c r="I21" s="351" t="str">
        <f>'10.Grain Production details'!H104</f>
        <v>  -   </v>
      </c>
    </row>
    <row r="22" ht="15.75" customHeight="1">
      <c r="A22" s="85" t="str">
        <f>'10.Grain Production details'!A105</f>
        <v>Safflower</v>
      </c>
      <c r="B22" s="351"/>
      <c r="C22" s="351" t="str">
        <f>'10.Grain Production details'!B105</f>
        <v>  -   </v>
      </c>
      <c r="D22" s="351" t="str">
        <f>'10.Grain Production details'!C105</f>
        <v>  -   </v>
      </c>
      <c r="E22" s="351" t="str">
        <f>'10.Grain Production details'!D105</f>
        <v>  -   </v>
      </c>
      <c r="F22" s="351" t="str">
        <f>'10.Grain Production details'!E105</f>
        <v>  -   </v>
      </c>
      <c r="G22" s="351" t="str">
        <f>'10.Grain Production details'!F105</f>
        <v>  -   </v>
      </c>
      <c r="H22" s="351" t="str">
        <f>'10.Grain Production details'!G105</f>
        <v>  -   </v>
      </c>
      <c r="I22" s="351" t="str">
        <f>'10.Grain Production details'!H105</f>
        <v>  -   </v>
      </c>
    </row>
    <row r="23" ht="15.75" customHeight="1">
      <c r="A23" s="85" t="str">
        <f>'10.Grain Production details'!A106</f>
        <v>Groundnut</v>
      </c>
      <c r="B23" s="351"/>
      <c r="C23" s="351" t="str">
        <f>'10.Grain Production details'!B106</f>
        <v>  172 </v>
      </c>
      <c r="D23" s="351" t="str">
        <f>'10.Grain Production details'!C106</f>
        <v>  185 </v>
      </c>
      <c r="E23" s="351" t="str">
        <f>'10.Grain Production details'!D106</f>
        <v>  199 </v>
      </c>
      <c r="F23" s="351" t="str">
        <f>'10.Grain Production details'!E106</f>
        <v>  212 </v>
      </c>
      <c r="G23" s="351" t="str">
        <f>'10.Grain Production details'!F106</f>
        <v>  225 </v>
      </c>
      <c r="H23" s="351" t="str">
        <f>'10.Grain Production details'!G106</f>
        <v>  238 </v>
      </c>
      <c r="I23" s="351" t="str">
        <f>'10.Grain Production details'!H106</f>
        <v>  252 </v>
      </c>
    </row>
    <row r="24" ht="15.75" customHeight="1">
      <c r="A24" s="85" t="str">
        <f>'10.Grain Production details'!A107</f>
        <v/>
      </c>
      <c r="B24" s="351"/>
      <c r="C24" s="351" t="str">
        <f>'10.Grain Production details'!B107</f>
        <v>  -   </v>
      </c>
      <c r="D24" s="351" t="str">
        <f>'10.Grain Production details'!C107</f>
        <v>  -   </v>
      </c>
      <c r="E24" s="351" t="str">
        <f>'10.Grain Production details'!D107</f>
        <v>  -   </v>
      </c>
      <c r="F24" s="351" t="str">
        <f>'10.Grain Production details'!E107</f>
        <v>  -   </v>
      </c>
      <c r="G24" s="351" t="str">
        <f>'10.Grain Production details'!F107</f>
        <v>  -   </v>
      </c>
      <c r="H24" s="351" t="str">
        <f>'10.Grain Production details'!G107</f>
        <v>  -   </v>
      </c>
      <c r="I24" s="351" t="str">
        <f>'10.Grain Production details'!H107</f>
        <v>  -   </v>
      </c>
    </row>
    <row r="25" ht="15.75" customHeight="1">
      <c r="A25" s="85" t="str">
        <f>'10.Grain Production details'!A108</f>
        <v/>
      </c>
      <c r="B25" s="351"/>
      <c r="C25" s="351" t="str">
        <f>'10.Grain Production details'!B108</f>
        <v>  -   </v>
      </c>
      <c r="D25" s="351" t="str">
        <f>'10.Grain Production details'!C108</f>
        <v>  -   </v>
      </c>
      <c r="E25" s="351" t="str">
        <f>'10.Grain Production details'!D108</f>
        <v>  -   </v>
      </c>
      <c r="F25" s="351" t="str">
        <f>'10.Grain Production details'!E108</f>
        <v>  -   </v>
      </c>
      <c r="G25" s="351" t="str">
        <f>'10.Grain Production details'!F108</f>
        <v>  -   </v>
      </c>
      <c r="H25" s="351" t="str">
        <f>'10.Grain Production details'!G108</f>
        <v>  -   </v>
      </c>
      <c r="I25" s="351" t="str">
        <f>'10.Grain Production details'!H108</f>
        <v>  -   </v>
      </c>
    </row>
    <row r="26" ht="15.75" customHeight="1">
      <c r="A26" s="117" t="str">
        <f>'10.Grain Production details'!A33</f>
        <v>Summer</v>
      </c>
      <c r="B26" s="351"/>
      <c r="C26" s="351"/>
      <c r="D26" s="351"/>
      <c r="E26" s="351"/>
      <c r="F26" s="351"/>
      <c r="G26" s="351"/>
      <c r="H26" s="351"/>
      <c r="I26" s="351"/>
    </row>
    <row r="27" ht="15.75" customHeight="1">
      <c r="A27" s="85" t="str">
        <f>'10.Grain Production details'!A109</f>
        <v>Soybean</v>
      </c>
      <c r="B27" s="351"/>
      <c r="C27" s="351" t="str">
        <f>'10.Grain Production details'!B110</f>
        <v>  -   </v>
      </c>
      <c r="D27" s="351" t="str">
        <f>'10.Grain Production details'!C110</f>
        <v>  -   </v>
      </c>
      <c r="E27" s="351" t="str">
        <f>'10.Grain Production details'!D110</f>
        <v>  -   </v>
      </c>
      <c r="F27" s="351" t="str">
        <f>'10.Grain Production details'!E110</f>
        <v>  -   </v>
      </c>
      <c r="G27" s="351" t="str">
        <f>'10.Grain Production details'!F110</f>
        <v>  -   </v>
      </c>
      <c r="H27" s="351" t="str">
        <f>'10.Grain Production details'!G110</f>
        <v>  -   </v>
      </c>
      <c r="I27" s="351" t="str">
        <f>'10.Grain Production details'!H110</f>
        <v>  -   </v>
      </c>
    </row>
    <row r="28" ht="15.75" customHeight="1">
      <c r="A28" s="85" t="str">
        <f>'10.Grain Production details'!A110</f>
        <v/>
      </c>
      <c r="B28" s="351"/>
      <c r="C28" s="351" t="str">
        <f>'10.Grain Production details'!B111</f>
        <v>  -   </v>
      </c>
      <c r="D28" s="351" t="str">
        <f>'10.Grain Production details'!C111</f>
        <v>  -   </v>
      </c>
      <c r="E28" s="351" t="str">
        <f>'10.Grain Production details'!D111</f>
        <v>  -   </v>
      </c>
      <c r="F28" s="351" t="str">
        <f>'10.Grain Production details'!E111</f>
        <v>  -   </v>
      </c>
      <c r="G28" s="351" t="str">
        <f>'10.Grain Production details'!F111</f>
        <v>  -   </v>
      </c>
      <c r="H28" s="351" t="str">
        <f>'10.Grain Production details'!G111</f>
        <v>  -   </v>
      </c>
      <c r="I28" s="351" t="str">
        <f>'10.Grain Production details'!H111</f>
        <v>  -   </v>
      </c>
    </row>
    <row r="29" ht="15.75" customHeight="1">
      <c r="A29" s="85" t="str">
        <f>'10.Grain Production details'!A111</f>
        <v/>
      </c>
      <c r="B29" s="351"/>
      <c r="C29" s="351" t="str">
        <f>'10.Grain Production details'!B112</f>
        <v>  -   </v>
      </c>
      <c r="D29" s="351" t="str">
        <f>'10.Grain Production details'!C112</f>
        <v>  -   </v>
      </c>
      <c r="E29" s="351" t="str">
        <f>'10.Grain Production details'!D112</f>
        <v>  -   </v>
      </c>
      <c r="F29" s="351" t="str">
        <f>'10.Grain Production details'!E112</f>
        <v>  -   </v>
      </c>
      <c r="G29" s="351" t="str">
        <f>'10.Grain Production details'!F112</f>
        <v>  -   </v>
      </c>
      <c r="H29" s="351" t="str">
        <f>'10.Grain Production details'!G112</f>
        <v>  -   </v>
      </c>
      <c r="I29" s="351" t="str">
        <f>'10.Grain Production details'!H112</f>
        <v>  -   </v>
      </c>
    </row>
    <row r="30" ht="15.75" customHeight="1">
      <c r="A30" s="85" t="str">
        <f>'10.Grain Production details'!A112</f>
        <v/>
      </c>
      <c r="B30" s="351"/>
      <c r="C30" s="351" t="str">
        <f>'10.Grain Production details'!B113</f>
        <v>  -   </v>
      </c>
      <c r="D30" s="351" t="str">
        <f>'10.Grain Production details'!C113</f>
        <v>  -   </v>
      </c>
      <c r="E30" s="351" t="str">
        <f>'10.Grain Production details'!D113</f>
        <v>  -   </v>
      </c>
      <c r="F30" s="351" t="str">
        <f>'10.Grain Production details'!E113</f>
        <v>  -   </v>
      </c>
      <c r="G30" s="351" t="str">
        <f>'10.Grain Production details'!F113</f>
        <v>  -   </v>
      </c>
      <c r="H30" s="351" t="str">
        <f>'10.Grain Production details'!G113</f>
        <v>  -   </v>
      </c>
      <c r="I30" s="351" t="str">
        <f>'10.Grain Production details'!H113</f>
        <v>  -   </v>
      </c>
    </row>
    <row r="31" ht="15.75" customHeight="1">
      <c r="A31" s="85" t="str">
        <f>'10.Grain Production details'!A113</f>
        <v/>
      </c>
      <c r="B31" s="351"/>
      <c r="C31" s="351" t="str">
        <f>'10.Grain Production details'!C114</f>
        <v/>
      </c>
      <c r="D31" s="351" t="str">
        <f>'10.Grain Production details'!D114</f>
        <v/>
      </c>
      <c r="E31" s="351" t="str">
        <f>'10.Grain Production details'!E114</f>
        <v/>
      </c>
      <c r="F31" s="351" t="str">
        <f>'10.Grain Production details'!F114</f>
        <v/>
      </c>
      <c r="G31" s="351" t="str">
        <f>'10.Grain Production details'!G114</f>
        <v/>
      </c>
      <c r="H31" s="351" t="str">
        <f>'10.Grain Production details'!H114</f>
        <v/>
      </c>
      <c r="I31" s="351" t="str">
        <f>'10.Grain Production details'!I114</f>
        <v/>
      </c>
    </row>
    <row r="32" ht="15.75" customHeight="1">
      <c r="A32" s="117" t="str">
        <f>'11.F&amp;V Crop Production details'!A1:H1</f>
        <v>Fruit  &amp; Vegetables Crop Production Details</v>
      </c>
      <c r="B32" s="351"/>
      <c r="C32" s="351"/>
      <c r="D32" s="351"/>
      <c r="E32" s="351"/>
      <c r="F32" s="351"/>
      <c r="G32" s="351"/>
      <c r="H32" s="351"/>
      <c r="I32" s="351"/>
    </row>
    <row r="33" ht="15.75" customHeight="1">
      <c r="A33" s="85" t="str">
        <f>'11.F&amp;V Crop Production details'!A102</f>
        <v>Onion</v>
      </c>
      <c r="B33" s="351"/>
      <c r="C33" s="351" t="str">
        <f>'11.F&amp;V Crop Production details'!B102</f>
        <v>  -   </v>
      </c>
      <c r="D33" s="351" t="str">
        <f>'11.F&amp;V Crop Production details'!C102</f>
        <v>  -   </v>
      </c>
      <c r="E33" s="351" t="str">
        <f>'11.F&amp;V Crop Production details'!D102</f>
        <v>  -   </v>
      </c>
      <c r="F33" s="351" t="str">
        <f>'11.F&amp;V Crop Production details'!E102</f>
        <v>  -   </v>
      </c>
      <c r="G33" s="351" t="str">
        <f>'11.F&amp;V Crop Production details'!F102</f>
        <v>  -   </v>
      </c>
      <c r="H33" s="351" t="str">
        <f>'11.F&amp;V Crop Production details'!G102</f>
        <v>  -   </v>
      </c>
      <c r="I33" s="351" t="str">
        <f>'11.F&amp;V Crop Production details'!H102</f>
        <v>  -   </v>
      </c>
    </row>
    <row r="34" ht="15.75" customHeight="1">
      <c r="A34" s="85" t="str">
        <f>'11.F&amp;V Crop Production details'!A103</f>
        <v>Tomato</v>
      </c>
      <c r="B34" s="351"/>
      <c r="C34" s="351" t="str">
        <f>'11.F&amp;V Crop Production details'!B103</f>
        <v>  -   </v>
      </c>
      <c r="D34" s="351" t="str">
        <f>'11.F&amp;V Crop Production details'!C103</f>
        <v>  -   </v>
      </c>
      <c r="E34" s="351" t="str">
        <f>'11.F&amp;V Crop Production details'!D103</f>
        <v>  -   </v>
      </c>
      <c r="F34" s="351" t="str">
        <f>'11.F&amp;V Crop Production details'!E103</f>
        <v>  -   </v>
      </c>
      <c r="G34" s="351" t="str">
        <f>'11.F&amp;V Crop Production details'!F103</f>
        <v>  -   </v>
      </c>
      <c r="H34" s="351" t="str">
        <f>'11.F&amp;V Crop Production details'!G103</f>
        <v>  -   </v>
      </c>
      <c r="I34" s="351" t="str">
        <f>'11.F&amp;V Crop Production details'!H103</f>
        <v>  -   </v>
      </c>
    </row>
    <row r="35" ht="15.75" customHeight="1">
      <c r="A35" s="85" t="str">
        <f>'11.F&amp;V Crop Production details'!A104</f>
        <v>Okra</v>
      </c>
      <c r="B35" s="351"/>
      <c r="C35" s="351" t="str">
        <f>'11.F&amp;V Crop Production details'!B104</f>
        <v>  -   </v>
      </c>
      <c r="D35" s="351" t="str">
        <f>'11.F&amp;V Crop Production details'!C104</f>
        <v>  -   </v>
      </c>
      <c r="E35" s="351" t="str">
        <f>'11.F&amp;V Crop Production details'!D104</f>
        <v>  -   </v>
      </c>
      <c r="F35" s="351" t="str">
        <f>'11.F&amp;V Crop Production details'!E104</f>
        <v>  -   </v>
      </c>
      <c r="G35" s="351" t="str">
        <f>'11.F&amp;V Crop Production details'!F104</f>
        <v>  -   </v>
      </c>
      <c r="H35" s="351" t="str">
        <f>'11.F&amp;V Crop Production details'!G104</f>
        <v>  -   </v>
      </c>
      <c r="I35" s="351" t="str">
        <f>'11.F&amp;V Crop Production details'!H104</f>
        <v>  -   </v>
      </c>
    </row>
    <row r="36" ht="15.75" customHeight="1">
      <c r="A36" s="85" t="str">
        <f>'11.F&amp;V Crop Production details'!A105</f>
        <v>Chilli</v>
      </c>
      <c r="B36" s="351"/>
      <c r="C36" s="351" t="str">
        <f>'11.F&amp;V Crop Production details'!B105</f>
        <v>  -   </v>
      </c>
      <c r="D36" s="351" t="str">
        <f>'11.F&amp;V Crop Production details'!C105</f>
        <v>  -   </v>
      </c>
      <c r="E36" s="351" t="str">
        <f>'11.F&amp;V Crop Production details'!D105</f>
        <v>  -   </v>
      </c>
      <c r="F36" s="351" t="str">
        <f>'11.F&amp;V Crop Production details'!E105</f>
        <v>  -   </v>
      </c>
      <c r="G36" s="351" t="str">
        <f>'11.F&amp;V Crop Production details'!F105</f>
        <v>  -   </v>
      </c>
      <c r="H36" s="351" t="str">
        <f>'11.F&amp;V Crop Production details'!G105</f>
        <v>  -   </v>
      </c>
      <c r="I36" s="351" t="str">
        <f>'11.F&amp;V Crop Production details'!H105</f>
        <v>  -   </v>
      </c>
    </row>
    <row r="37" ht="15.75" customHeight="1">
      <c r="A37" s="85" t="str">
        <f>'11.F&amp;V Crop Production details'!A106</f>
        <v>Potato</v>
      </c>
      <c r="B37" s="351"/>
      <c r="C37" s="351" t="str">
        <f>'11.F&amp;V Crop Production details'!B106</f>
        <v>  -   </v>
      </c>
      <c r="D37" s="351" t="str">
        <f>'11.F&amp;V Crop Production details'!C106</f>
        <v>  -   </v>
      </c>
      <c r="E37" s="351" t="str">
        <f>'11.F&amp;V Crop Production details'!D106</f>
        <v>  -   </v>
      </c>
      <c r="F37" s="351" t="str">
        <f>'11.F&amp;V Crop Production details'!E106</f>
        <v>  -   </v>
      </c>
      <c r="G37" s="351" t="str">
        <f>'11.F&amp;V Crop Production details'!F106</f>
        <v>  -   </v>
      </c>
      <c r="H37" s="351" t="str">
        <f>'11.F&amp;V Crop Production details'!G106</f>
        <v>  -   </v>
      </c>
      <c r="I37" s="351" t="str">
        <f>'11.F&amp;V Crop Production details'!H106</f>
        <v>  -   </v>
      </c>
    </row>
    <row r="38" ht="15.75" customHeight="1">
      <c r="A38" s="85" t="str">
        <f>'11.F&amp;V Crop Production details'!A107</f>
        <v/>
      </c>
      <c r="B38" s="351"/>
      <c r="C38" s="351" t="str">
        <f>'11.F&amp;V Crop Production details'!B107</f>
        <v>  -   </v>
      </c>
      <c r="D38" s="351" t="str">
        <f>'11.F&amp;V Crop Production details'!C107</f>
        <v>  -   </v>
      </c>
      <c r="E38" s="351" t="str">
        <f>'11.F&amp;V Crop Production details'!D107</f>
        <v>  -   </v>
      </c>
      <c r="F38" s="351" t="str">
        <f>'11.F&amp;V Crop Production details'!E107</f>
        <v>  -   </v>
      </c>
      <c r="G38" s="351" t="str">
        <f>'11.F&amp;V Crop Production details'!F107</f>
        <v>  -   </v>
      </c>
      <c r="H38" s="351" t="str">
        <f>'11.F&amp;V Crop Production details'!G107</f>
        <v>  -   </v>
      </c>
      <c r="I38" s="351" t="str">
        <f>'11.F&amp;V Crop Production details'!H107</f>
        <v>  -   </v>
      </c>
    </row>
    <row r="39" ht="15.75" customHeight="1">
      <c r="A39" s="85" t="str">
        <f>'11.F&amp;V Crop Production details'!A108</f>
        <v/>
      </c>
      <c r="B39" s="351"/>
      <c r="C39" s="351" t="str">
        <f>'11.F&amp;V Crop Production details'!B108</f>
        <v>  -   </v>
      </c>
      <c r="D39" s="351" t="str">
        <f>'11.F&amp;V Crop Production details'!C108</f>
        <v>  -   </v>
      </c>
      <c r="E39" s="351" t="str">
        <f>'11.F&amp;V Crop Production details'!D108</f>
        <v>  -   </v>
      </c>
      <c r="F39" s="351" t="str">
        <f>'11.F&amp;V Crop Production details'!E108</f>
        <v>  -   </v>
      </c>
      <c r="G39" s="351" t="str">
        <f>'11.F&amp;V Crop Production details'!F108</f>
        <v>  -   </v>
      </c>
      <c r="H39" s="351" t="str">
        <f>'11.F&amp;V Crop Production details'!G108</f>
        <v>  -   </v>
      </c>
      <c r="I39" s="351" t="str">
        <f>'11.F&amp;V Crop Production details'!H108</f>
        <v>  -   </v>
      </c>
    </row>
    <row r="40" ht="15.75" customHeight="1">
      <c r="A40" s="85" t="str">
        <f>'11.F&amp;V Crop Production details'!A109</f>
        <v/>
      </c>
      <c r="B40" s="351"/>
      <c r="C40" s="351" t="str">
        <f>'11.F&amp;V Crop Production details'!B109</f>
        <v>  -   </v>
      </c>
      <c r="D40" s="351" t="str">
        <f>'11.F&amp;V Crop Production details'!C109</f>
        <v>  -   </v>
      </c>
      <c r="E40" s="351" t="str">
        <f>'11.F&amp;V Crop Production details'!D109</f>
        <v>  -   </v>
      </c>
      <c r="F40" s="351" t="str">
        <f>'11.F&amp;V Crop Production details'!E109</f>
        <v>  -   </v>
      </c>
      <c r="G40" s="351" t="str">
        <f>'11.F&amp;V Crop Production details'!F109</f>
        <v>  -   </v>
      </c>
      <c r="H40" s="351" t="str">
        <f>'11.F&amp;V Crop Production details'!G109</f>
        <v>  -   </v>
      </c>
      <c r="I40" s="351" t="str">
        <f>'11.F&amp;V Crop Production details'!H109</f>
        <v>  -   </v>
      </c>
    </row>
    <row r="41" ht="15.75" customHeight="1">
      <c r="A41" s="85" t="str">
        <f>'11.F&amp;V Crop Production details'!A110</f>
        <v/>
      </c>
      <c r="B41" s="351"/>
      <c r="C41" s="351" t="str">
        <f>'11.F&amp;V Crop Production details'!B110</f>
        <v>  -   </v>
      </c>
      <c r="D41" s="351" t="str">
        <f>'11.F&amp;V Crop Production details'!C110</f>
        <v>  -   </v>
      </c>
      <c r="E41" s="351" t="str">
        <f>'11.F&amp;V Crop Production details'!D110</f>
        <v>  -   </v>
      </c>
      <c r="F41" s="351" t="str">
        <f>'11.F&amp;V Crop Production details'!E110</f>
        <v>  -   </v>
      </c>
      <c r="G41" s="351" t="str">
        <f>'11.F&amp;V Crop Production details'!F110</f>
        <v>  -   </v>
      </c>
      <c r="H41" s="351" t="str">
        <f>'11.F&amp;V Crop Production details'!G110</f>
        <v>  -   </v>
      </c>
      <c r="I41" s="351" t="str">
        <f>'11.F&amp;V Crop Production details'!H110</f>
        <v>  -   </v>
      </c>
    </row>
    <row r="42" ht="15.75" customHeight="1">
      <c r="A42" s="85" t="str">
        <f>'11.F&amp;V Crop Production details'!A111</f>
        <v>Onion</v>
      </c>
      <c r="B42" s="351"/>
      <c r="C42" s="351" t="str">
        <f>'11.F&amp;V Crop Production details'!B111</f>
        <v>  -   </v>
      </c>
      <c r="D42" s="351" t="str">
        <f>'11.F&amp;V Crop Production details'!C111</f>
        <v>  -   </v>
      </c>
      <c r="E42" s="351" t="str">
        <f>'11.F&amp;V Crop Production details'!D111</f>
        <v>  -   </v>
      </c>
      <c r="F42" s="351" t="str">
        <f>'11.F&amp;V Crop Production details'!E111</f>
        <v>  -   </v>
      </c>
      <c r="G42" s="351" t="str">
        <f>'11.F&amp;V Crop Production details'!F111</f>
        <v>  -   </v>
      </c>
      <c r="H42" s="351" t="str">
        <f>'11.F&amp;V Crop Production details'!G111</f>
        <v>  -   </v>
      </c>
      <c r="I42" s="351" t="str">
        <f>'11.F&amp;V Crop Production details'!H111</f>
        <v>  -   </v>
      </c>
    </row>
    <row r="43" ht="15.75" customHeight="1">
      <c r="A43" s="85" t="str">
        <f>'11.F&amp;V Crop Production details'!A112</f>
        <v>Tomato</v>
      </c>
      <c r="B43" s="351"/>
      <c r="C43" s="351" t="str">
        <f>'11.F&amp;V Crop Production details'!B112</f>
        <v>  -   </v>
      </c>
      <c r="D43" s="351" t="str">
        <f>'11.F&amp;V Crop Production details'!C112</f>
        <v>  -   </v>
      </c>
      <c r="E43" s="351" t="str">
        <f>'11.F&amp;V Crop Production details'!D112</f>
        <v>  -   </v>
      </c>
      <c r="F43" s="351" t="str">
        <f>'11.F&amp;V Crop Production details'!E112</f>
        <v>  -   </v>
      </c>
      <c r="G43" s="351" t="str">
        <f>'11.F&amp;V Crop Production details'!F112</f>
        <v>  -   </v>
      </c>
      <c r="H43" s="351" t="str">
        <f>'11.F&amp;V Crop Production details'!G112</f>
        <v>  -   </v>
      </c>
      <c r="I43" s="351" t="str">
        <f>'11.F&amp;V Crop Production details'!H112</f>
        <v>  -   </v>
      </c>
    </row>
    <row r="44" ht="15.75" customHeight="1">
      <c r="A44" s="85" t="str">
        <f>'11.F&amp;V Crop Production details'!A113</f>
        <v>Okra</v>
      </c>
      <c r="B44" s="351"/>
      <c r="C44" s="351" t="str">
        <f>'11.F&amp;V Crop Production details'!B113</f>
        <v>  -   </v>
      </c>
      <c r="D44" s="351" t="str">
        <f>'11.F&amp;V Crop Production details'!C113</f>
        <v>  -   </v>
      </c>
      <c r="E44" s="351" t="str">
        <f>'11.F&amp;V Crop Production details'!D113</f>
        <v>  -   </v>
      </c>
      <c r="F44" s="351" t="str">
        <f>'11.F&amp;V Crop Production details'!E113</f>
        <v>  -   </v>
      </c>
      <c r="G44" s="351" t="str">
        <f>'11.F&amp;V Crop Production details'!F113</f>
        <v>  -   </v>
      </c>
      <c r="H44" s="351" t="str">
        <f>'11.F&amp;V Crop Production details'!G113</f>
        <v>  -   </v>
      </c>
      <c r="I44" s="351" t="str">
        <f>'11.F&amp;V Crop Production details'!H113</f>
        <v>  -   </v>
      </c>
    </row>
    <row r="45" ht="15.75" customHeight="1">
      <c r="A45" s="85" t="str">
        <f>'11.F&amp;V Crop Production details'!A114</f>
        <v>Chilli</v>
      </c>
      <c r="B45" s="351"/>
      <c r="C45" s="351" t="str">
        <f>'11.F&amp;V Crop Production details'!B114</f>
        <v>  -   </v>
      </c>
      <c r="D45" s="351" t="str">
        <f>'11.F&amp;V Crop Production details'!C114</f>
        <v>  -   </v>
      </c>
      <c r="E45" s="351" t="str">
        <f>'11.F&amp;V Crop Production details'!D114</f>
        <v>  -   </v>
      </c>
      <c r="F45" s="351" t="str">
        <f>'11.F&amp;V Crop Production details'!E114</f>
        <v>  -   </v>
      </c>
      <c r="G45" s="351" t="str">
        <f>'11.F&amp;V Crop Production details'!F114</f>
        <v>  -   </v>
      </c>
      <c r="H45" s="351" t="str">
        <f>'11.F&amp;V Crop Production details'!G114</f>
        <v>  -   </v>
      </c>
      <c r="I45" s="351" t="str">
        <f>'11.F&amp;V Crop Production details'!H114</f>
        <v>  -   </v>
      </c>
    </row>
    <row r="46" ht="15.75" customHeight="1">
      <c r="A46" s="85" t="str">
        <f>'11.F&amp;V Crop Production details'!A115</f>
        <v>Brinjal</v>
      </c>
      <c r="B46" s="351"/>
      <c r="C46" s="351" t="str">
        <f>'11.F&amp;V Crop Production details'!B115</f>
        <v>  -   </v>
      </c>
      <c r="D46" s="351" t="str">
        <f>'11.F&amp;V Crop Production details'!C115</f>
        <v>  -   </v>
      </c>
      <c r="E46" s="351" t="str">
        <f>'11.F&amp;V Crop Production details'!D115</f>
        <v>  -   </v>
      </c>
      <c r="F46" s="351" t="str">
        <f>'11.F&amp;V Crop Production details'!E115</f>
        <v>  -   </v>
      </c>
      <c r="G46" s="351" t="str">
        <f>'11.F&amp;V Crop Production details'!F115</f>
        <v>  -   </v>
      </c>
      <c r="H46" s="351" t="str">
        <f>'11.F&amp;V Crop Production details'!G115</f>
        <v>  -   </v>
      </c>
      <c r="I46" s="351" t="str">
        <f>'11.F&amp;V Crop Production details'!H115</f>
        <v>  -   </v>
      </c>
    </row>
    <row r="47" ht="15.75" customHeight="1">
      <c r="A47" s="85" t="str">
        <f>'11.F&amp;V Crop Production details'!A116</f>
        <v/>
      </c>
      <c r="B47" s="351"/>
      <c r="C47" s="351" t="str">
        <f>'11.F&amp;V Crop Production details'!B116</f>
        <v>  -   </v>
      </c>
      <c r="D47" s="351" t="str">
        <f>'11.F&amp;V Crop Production details'!C116</f>
        <v>  -   </v>
      </c>
      <c r="E47" s="351" t="str">
        <f>'11.F&amp;V Crop Production details'!D116</f>
        <v>  -   </v>
      </c>
      <c r="F47" s="351" t="str">
        <f>'11.F&amp;V Crop Production details'!E116</f>
        <v>  -   </v>
      </c>
      <c r="G47" s="351" t="str">
        <f>'11.F&amp;V Crop Production details'!F116</f>
        <v>  -   </v>
      </c>
      <c r="H47" s="351" t="str">
        <f>'11.F&amp;V Crop Production details'!G116</f>
        <v>  -   </v>
      </c>
      <c r="I47" s="351" t="str">
        <f>'11.F&amp;V Crop Production details'!H116</f>
        <v>  -   </v>
      </c>
    </row>
    <row r="48" ht="15.75" customHeight="1">
      <c r="A48" s="85" t="str">
        <f>'11.F&amp;V Crop Production details'!A117</f>
        <v/>
      </c>
      <c r="B48" s="351"/>
      <c r="C48" s="351" t="str">
        <f>'11.F&amp;V Crop Production details'!B117</f>
        <v>  -   </v>
      </c>
      <c r="D48" s="351" t="str">
        <f>'11.F&amp;V Crop Production details'!C117</f>
        <v>  -   </v>
      </c>
      <c r="E48" s="351" t="str">
        <f>'11.F&amp;V Crop Production details'!D117</f>
        <v>  -   </v>
      </c>
      <c r="F48" s="351" t="str">
        <f>'11.F&amp;V Crop Production details'!E117</f>
        <v>  -   </v>
      </c>
      <c r="G48" s="351" t="str">
        <f>'11.F&amp;V Crop Production details'!F117</f>
        <v>  -   </v>
      </c>
      <c r="H48" s="351" t="str">
        <f>'11.F&amp;V Crop Production details'!G117</f>
        <v>  -   </v>
      </c>
      <c r="I48" s="351" t="str">
        <f>'11.F&amp;V Crop Production details'!H117</f>
        <v>  -   </v>
      </c>
    </row>
    <row r="49" ht="15.75" customHeight="1">
      <c r="A49" s="85" t="str">
        <f>'11.F&amp;V Crop Production details'!A118</f>
        <v/>
      </c>
      <c r="B49" s="351"/>
      <c r="C49" s="351" t="str">
        <f>'11.F&amp;V Crop Production details'!B118</f>
        <v>  -   </v>
      </c>
      <c r="D49" s="351" t="str">
        <f>'11.F&amp;V Crop Production details'!C118</f>
        <v>  -   </v>
      </c>
      <c r="E49" s="351" t="str">
        <f>'11.F&amp;V Crop Production details'!D118</f>
        <v>  -   </v>
      </c>
      <c r="F49" s="351" t="str">
        <f>'11.F&amp;V Crop Production details'!E118</f>
        <v>  -   </v>
      </c>
      <c r="G49" s="351" t="str">
        <f>'11.F&amp;V Crop Production details'!F118</f>
        <v>  -   </v>
      </c>
      <c r="H49" s="351" t="str">
        <f>'11.F&amp;V Crop Production details'!G118</f>
        <v>  -   </v>
      </c>
      <c r="I49" s="351" t="str">
        <f>'11.F&amp;V Crop Production details'!H118</f>
        <v>  -   </v>
      </c>
    </row>
    <row r="50" ht="15.75" customHeight="1">
      <c r="A50" s="85" t="str">
        <f>'11.F&amp;V Crop Production details'!A119</f>
        <v/>
      </c>
      <c r="B50" s="351"/>
      <c r="C50" s="351" t="str">
        <f>'11.F&amp;V Crop Production details'!B119</f>
        <v>  -   </v>
      </c>
      <c r="D50" s="351" t="str">
        <f>'11.F&amp;V Crop Production details'!C119</f>
        <v>  -   </v>
      </c>
      <c r="E50" s="351" t="str">
        <f>'11.F&amp;V Crop Production details'!D119</f>
        <v>  -   </v>
      </c>
      <c r="F50" s="351" t="str">
        <f>'11.F&amp;V Crop Production details'!E119</f>
        <v>  -   </v>
      </c>
      <c r="G50" s="351" t="str">
        <f>'11.F&amp;V Crop Production details'!F119</f>
        <v>  -   </v>
      </c>
      <c r="H50" s="351" t="str">
        <f>'11.F&amp;V Crop Production details'!G119</f>
        <v>  -   </v>
      </c>
      <c r="I50" s="351" t="str">
        <f>'11.F&amp;V Crop Production details'!H119</f>
        <v>  -   </v>
      </c>
    </row>
    <row r="51" ht="15.75" customHeight="1">
      <c r="A51" s="85" t="str">
        <f>'11.F&amp;V Crop Production details'!A120</f>
        <v/>
      </c>
      <c r="B51" s="351"/>
      <c r="C51" s="351" t="str">
        <f>'11.F&amp;V Crop Production details'!B120</f>
        <v>  -   </v>
      </c>
      <c r="D51" s="351" t="str">
        <f>'11.F&amp;V Crop Production details'!C120</f>
        <v>  -   </v>
      </c>
      <c r="E51" s="351" t="str">
        <f>'11.F&amp;V Crop Production details'!D120</f>
        <v>  -   </v>
      </c>
      <c r="F51" s="351" t="str">
        <f>'11.F&amp;V Crop Production details'!E120</f>
        <v>  -   </v>
      </c>
      <c r="G51" s="351" t="str">
        <f>'11.F&amp;V Crop Production details'!F120</f>
        <v>  -   </v>
      </c>
      <c r="H51" s="351" t="str">
        <f>'11.F&amp;V Crop Production details'!G120</f>
        <v>  -   </v>
      </c>
      <c r="I51" s="351" t="str">
        <f>'11.F&amp;V Crop Production details'!H120</f>
        <v>  -   </v>
      </c>
    </row>
    <row r="52" ht="15.75" customHeight="1">
      <c r="A52" s="85" t="str">
        <f>'11.F&amp;V Crop Production details'!A121</f>
        <v/>
      </c>
      <c r="B52" s="351"/>
      <c r="C52" s="351" t="str">
        <f>'11.F&amp;V Crop Production details'!B121</f>
        <v>  -   </v>
      </c>
      <c r="D52" s="351" t="str">
        <f>'11.F&amp;V Crop Production details'!C121</f>
        <v>  -   </v>
      </c>
      <c r="E52" s="351" t="str">
        <f>'11.F&amp;V Crop Production details'!D121</f>
        <v>  -   </v>
      </c>
      <c r="F52" s="351" t="str">
        <f>'11.F&amp;V Crop Production details'!E121</f>
        <v>  -   </v>
      </c>
      <c r="G52" s="351" t="str">
        <f>'11.F&amp;V Crop Production details'!F121</f>
        <v>  -   </v>
      </c>
      <c r="H52" s="351" t="str">
        <f>'11.F&amp;V Crop Production details'!G121</f>
        <v>  -   </v>
      </c>
      <c r="I52" s="351" t="str">
        <f>'11.F&amp;V Crop Production details'!H121</f>
        <v>  -   </v>
      </c>
    </row>
    <row r="53" ht="15.75" customHeight="1">
      <c r="A53" s="85" t="str">
        <f>'11.F&amp;V Crop Production details'!A122</f>
        <v/>
      </c>
      <c r="B53" s="351"/>
      <c r="C53" s="351" t="str">
        <f>'11.F&amp;V Crop Production details'!B122</f>
        <v>  -   </v>
      </c>
      <c r="D53" s="351" t="str">
        <f>'11.F&amp;V Crop Production details'!C122</f>
        <v>  -   </v>
      </c>
      <c r="E53" s="351" t="str">
        <f>'11.F&amp;V Crop Production details'!D122</f>
        <v>  -   </v>
      </c>
      <c r="F53" s="351" t="str">
        <f>'11.F&amp;V Crop Production details'!E122</f>
        <v>  -   </v>
      </c>
      <c r="G53" s="351" t="str">
        <f>'11.F&amp;V Crop Production details'!F122</f>
        <v>  -   </v>
      </c>
      <c r="H53" s="351" t="str">
        <f>'11.F&amp;V Crop Production details'!G122</f>
        <v>  -   </v>
      </c>
      <c r="I53" s="351" t="str">
        <f>'11.F&amp;V Crop Production details'!H122</f>
        <v>  -   </v>
      </c>
    </row>
    <row r="54" ht="15.75" customHeight="1">
      <c r="A54" s="85" t="str">
        <f>'11.F&amp;V Crop Production details'!A123</f>
        <v>Pomegranate</v>
      </c>
      <c r="B54" s="351"/>
      <c r="C54" s="351" t="str">
        <f>'11.F&amp;V Crop Production details'!B123</f>
        <v>  -   </v>
      </c>
      <c r="D54" s="351" t="str">
        <f>'11.F&amp;V Crop Production details'!C123</f>
        <v>  -   </v>
      </c>
      <c r="E54" s="351" t="str">
        <f>'11.F&amp;V Crop Production details'!D123</f>
        <v>  -   </v>
      </c>
      <c r="F54" s="351" t="str">
        <f>'11.F&amp;V Crop Production details'!E123</f>
        <v>  -   </v>
      </c>
      <c r="G54" s="351" t="str">
        <f>'11.F&amp;V Crop Production details'!F123</f>
        <v>  -   </v>
      </c>
      <c r="H54" s="351" t="str">
        <f>'11.F&amp;V Crop Production details'!G123</f>
        <v>  -   </v>
      </c>
      <c r="I54" s="351" t="str">
        <f>'11.F&amp;V Crop Production details'!H123</f>
        <v>  -   </v>
      </c>
    </row>
    <row r="55" ht="15.75" customHeight="1">
      <c r="A55" s="85" t="str">
        <f>'11.F&amp;V Crop Production details'!A124</f>
        <v>Custard Apple</v>
      </c>
      <c r="B55" s="351"/>
      <c r="C55" s="351" t="str">
        <f>'11.F&amp;V Crop Production details'!B124</f>
        <v>  -   </v>
      </c>
      <c r="D55" s="351" t="str">
        <f>'11.F&amp;V Crop Production details'!C124</f>
        <v>  -   </v>
      </c>
      <c r="E55" s="351" t="str">
        <f>'11.F&amp;V Crop Production details'!D124</f>
        <v>  -   </v>
      </c>
      <c r="F55" s="351" t="str">
        <f>'11.F&amp;V Crop Production details'!E124</f>
        <v>  -   </v>
      </c>
      <c r="G55" s="351" t="str">
        <f>'11.F&amp;V Crop Production details'!F124</f>
        <v>  -   </v>
      </c>
      <c r="H55" s="351" t="str">
        <f>'11.F&amp;V Crop Production details'!G124</f>
        <v>  -   </v>
      </c>
      <c r="I55" s="351" t="str">
        <f>'11.F&amp;V Crop Production details'!H124</f>
        <v>  -   </v>
      </c>
    </row>
    <row r="56" ht="15.75" customHeight="1">
      <c r="A56" s="85" t="str">
        <f>'11.F&amp;V Crop Production details'!A125</f>
        <v>Guava</v>
      </c>
      <c r="B56" s="351"/>
      <c r="C56" s="351" t="str">
        <f>'11.F&amp;V Crop Production details'!B125</f>
        <v>  -   </v>
      </c>
      <c r="D56" s="351" t="str">
        <f>'11.F&amp;V Crop Production details'!C125</f>
        <v>  -   </v>
      </c>
      <c r="E56" s="351" t="str">
        <f>'11.F&amp;V Crop Production details'!D125</f>
        <v>  -   </v>
      </c>
      <c r="F56" s="351" t="str">
        <f>'11.F&amp;V Crop Production details'!E125</f>
        <v>  -   </v>
      </c>
      <c r="G56" s="351" t="str">
        <f>'11.F&amp;V Crop Production details'!F125</f>
        <v>  -   </v>
      </c>
      <c r="H56" s="351" t="str">
        <f>'11.F&amp;V Crop Production details'!G125</f>
        <v>  -   </v>
      </c>
      <c r="I56" s="351" t="str">
        <f>'11.F&amp;V Crop Production details'!H125</f>
        <v>  -   </v>
      </c>
    </row>
    <row r="57" ht="15.75" customHeight="1">
      <c r="A57" s="85" t="str">
        <f>'11.F&amp;V Crop Production details'!A126</f>
        <v>Citrus</v>
      </c>
      <c r="B57" s="351"/>
      <c r="C57" s="351" t="str">
        <f>'11.F&amp;V Crop Production details'!B126</f>
        <v>  -   </v>
      </c>
      <c r="D57" s="351" t="str">
        <f>'11.F&amp;V Crop Production details'!C126</f>
        <v>  -   </v>
      </c>
      <c r="E57" s="351" t="str">
        <f>'11.F&amp;V Crop Production details'!D126</f>
        <v>  -   </v>
      </c>
      <c r="F57" s="351" t="str">
        <f>'11.F&amp;V Crop Production details'!E126</f>
        <v>  -   </v>
      </c>
      <c r="G57" s="351" t="str">
        <f>'11.F&amp;V Crop Production details'!F126</f>
        <v>  -   </v>
      </c>
      <c r="H57" s="351" t="str">
        <f>'11.F&amp;V Crop Production details'!G126</f>
        <v>  -   </v>
      </c>
      <c r="I57" s="351" t="str">
        <f>'11.F&amp;V Crop Production details'!H126</f>
        <v>  -   </v>
      </c>
    </row>
    <row r="58" ht="15.75" customHeight="1">
      <c r="A58" s="85"/>
      <c r="B58" s="351"/>
      <c r="C58" s="351"/>
      <c r="D58" s="351"/>
      <c r="E58" s="351"/>
      <c r="F58" s="351"/>
      <c r="G58" s="351"/>
      <c r="H58" s="351"/>
      <c r="I58" s="351"/>
    </row>
    <row r="59" ht="15.75" customHeight="1">
      <c r="A59" s="117" t="s">
        <v>701</v>
      </c>
      <c r="B59" s="85"/>
      <c r="C59" s="85"/>
      <c r="D59" s="85"/>
      <c r="E59" s="85"/>
      <c r="F59" s="85"/>
      <c r="G59" s="85"/>
      <c r="H59" s="85"/>
      <c r="I59" s="85"/>
    </row>
    <row r="60" ht="15.75" customHeight="1">
      <c r="A60" s="117" t="s">
        <v>702</v>
      </c>
      <c r="B60" s="85"/>
      <c r="C60" s="85"/>
      <c r="D60" s="85"/>
      <c r="E60" s="85"/>
      <c r="F60" s="85"/>
      <c r="G60" s="85"/>
      <c r="H60" s="85"/>
      <c r="I60" s="85"/>
    </row>
    <row r="61" ht="15.75" customHeight="1">
      <c r="A61" s="117" t="str">
        <f t="shared" ref="A61:A110" si="1">A8</f>
        <v>Kharif Crops</v>
      </c>
      <c r="B61" s="85"/>
      <c r="C61" s="85"/>
      <c r="D61" s="85"/>
      <c r="E61" s="85"/>
      <c r="F61" s="85"/>
      <c r="G61" s="85"/>
      <c r="H61" s="85"/>
      <c r="I61" s="85"/>
    </row>
    <row r="62" ht="15.75" customHeight="1">
      <c r="A62" s="85" t="str">
        <f t="shared" si="1"/>
        <v>Soybean</v>
      </c>
      <c r="B62" s="72">
        <v>0.0</v>
      </c>
      <c r="C62" s="351" t="str">
        <f t="shared" ref="C62:I62" si="2">$B62*C9</f>
        <v>  -   </v>
      </c>
      <c r="D62" s="351" t="str">
        <f t="shared" si="2"/>
        <v>  -   </v>
      </c>
      <c r="E62" s="351" t="str">
        <f t="shared" si="2"/>
        <v>  -   </v>
      </c>
      <c r="F62" s="351" t="str">
        <f t="shared" si="2"/>
        <v>  -   </v>
      </c>
      <c r="G62" s="351" t="str">
        <f t="shared" si="2"/>
        <v>  -   </v>
      </c>
      <c r="H62" s="351" t="str">
        <f t="shared" si="2"/>
        <v>  -   </v>
      </c>
      <c r="I62" s="351" t="str">
        <f t="shared" si="2"/>
        <v>  -   </v>
      </c>
    </row>
    <row r="63" ht="15.75" customHeight="1">
      <c r="A63" s="85" t="str">
        <f t="shared" si="1"/>
        <v>Redgram</v>
      </c>
      <c r="B63" s="72">
        <v>0.0</v>
      </c>
      <c r="C63" s="351" t="str">
        <f t="shared" ref="C63:C69" si="4">$B63*C10</f>
        <v>  -   </v>
      </c>
      <c r="D63" s="351" t="str">
        <f t="shared" ref="D63:I63" si="3">$B$63*D10</f>
        <v>  -   </v>
      </c>
      <c r="E63" s="351" t="str">
        <f t="shared" si="3"/>
        <v>  -   </v>
      </c>
      <c r="F63" s="351" t="str">
        <f t="shared" si="3"/>
        <v>  -   </v>
      </c>
      <c r="G63" s="351" t="str">
        <f t="shared" si="3"/>
        <v>  -   </v>
      </c>
      <c r="H63" s="351" t="str">
        <f t="shared" si="3"/>
        <v>  -   </v>
      </c>
      <c r="I63" s="351" t="str">
        <f t="shared" si="3"/>
        <v>  -   </v>
      </c>
    </row>
    <row r="64" ht="15.75" customHeight="1">
      <c r="A64" s="85" t="str">
        <f t="shared" si="1"/>
        <v>Turmeric</v>
      </c>
      <c r="B64" s="72">
        <v>0.0</v>
      </c>
      <c r="C64" s="351" t="str">
        <f t="shared" si="4"/>
        <v>  -   </v>
      </c>
      <c r="D64" s="351" t="str">
        <f t="shared" ref="D64:I64" si="5">$B$64*D11</f>
        <v>  -   </v>
      </c>
      <c r="E64" s="351" t="str">
        <f t="shared" si="5"/>
        <v>  -   </v>
      </c>
      <c r="F64" s="351" t="str">
        <f t="shared" si="5"/>
        <v>  -   </v>
      </c>
      <c r="G64" s="351" t="str">
        <f t="shared" si="5"/>
        <v>  -   </v>
      </c>
      <c r="H64" s="351" t="str">
        <f t="shared" si="5"/>
        <v>  -   </v>
      </c>
      <c r="I64" s="351" t="str">
        <f t="shared" si="5"/>
        <v>  -   </v>
      </c>
    </row>
    <row r="65" ht="15.75" customHeight="1">
      <c r="A65" s="85" t="str">
        <f t="shared" si="1"/>
        <v>Bengalgram</v>
      </c>
      <c r="B65" s="72">
        <v>0.0</v>
      </c>
      <c r="C65" s="351" t="str">
        <f t="shared" si="4"/>
        <v>  -   </v>
      </c>
      <c r="D65" s="351" t="str">
        <f t="shared" ref="D65:I65" si="6">$B65*D12</f>
        <v>  -   </v>
      </c>
      <c r="E65" s="351" t="str">
        <f t="shared" si="6"/>
        <v>  -   </v>
      </c>
      <c r="F65" s="351" t="str">
        <f t="shared" si="6"/>
        <v>  -   </v>
      </c>
      <c r="G65" s="351" t="str">
        <f t="shared" si="6"/>
        <v>  -   </v>
      </c>
      <c r="H65" s="351" t="str">
        <f t="shared" si="6"/>
        <v>  -   </v>
      </c>
      <c r="I65" s="351" t="str">
        <f t="shared" si="6"/>
        <v>  -   </v>
      </c>
    </row>
    <row r="66" ht="15.75" customHeight="1">
      <c r="A66" s="85" t="str">
        <f t="shared" si="1"/>
        <v>Channa</v>
      </c>
      <c r="B66" s="72">
        <v>0.0</v>
      </c>
      <c r="C66" s="351" t="str">
        <f t="shared" si="4"/>
        <v>  -   </v>
      </c>
      <c r="D66" s="351" t="str">
        <f t="shared" ref="D66:I66" si="7">$B66*D13</f>
        <v>  -   </v>
      </c>
      <c r="E66" s="351" t="str">
        <f t="shared" si="7"/>
        <v>  -   </v>
      </c>
      <c r="F66" s="351" t="str">
        <f t="shared" si="7"/>
        <v>  -   </v>
      </c>
      <c r="G66" s="351" t="str">
        <f t="shared" si="7"/>
        <v>  -   </v>
      </c>
      <c r="H66" s="351" t="str">
        <f t="shared" si="7"/>
        <v>  -   </v>
      </c>
      <c r="I66" s="351" t="str">
        <f t="shared" si="7"/>
        <v>  -   </v>
      </c>
    </row>
    <row r="67" ht="15.75" customHeight="1">
      <c r="A67" s="85" t="str">
        <f t="shared" si="1"/>
        <v>Udid</v>
      </c>
      <c r="B67" s="72">
        <v>0.0</v>
      </c>
      <c r="C67" s="351" t="str">
        <f t="shared" si="4"/>
        <v>  -   </v>
      </c>
      <c r="D67" s="351" t="str">
        <f t="shared" ref="D67:I67" si="8">$B67*D14</f>
        <v>  -   </v>
      </c>
      <c r="E67" s="351" t="str">
        <f t="shared" si="8"/>
        <v>  -   </v>
      </c>
      <c r="F67" s="351" t="str">
        <f t="shared" si="8"/>
        <v>  -   </v>
      </c>
      <c r="G67" s="351" t="str">
        <f t="shared" si="8"/>
        <v>  -   </v>
      </c>
      <c r="H67" s="351" t="str">
        <f t="shared" si="8"/>
        <v>  -   </v>
      </c>
      <c r="I67" s="351" t="str">
        <f t="shared" si="8"/>
        <v>  -   </v>
      </c>
    </row>
    <row r="68" ht="15.75" customHeight="1">
      <c r="A68" s="85" t="str">
        <f t="shared" si="1"/>
        <v>Bajra</v>
      </c>
      <c r="B68" s="72">
        <v>0.0</v>
      </c>
      <c r="C68" s="351" t="str">
        <f t="shared" si="4"/>
        <v>  -   </v>
      </c>
      <c r="D68" s="351" t="str">
        <f t="shared" ref="D68:I68" si="9">$B68*D15</f>
        <v>  -   </v>
      </c>
      <c r="E68" s="351" t="str">
        <f t="shared" si="9"/>
        <v>  -   </v>
      </c>
      <c r="F68" s="351" t="str">
        <f t="shared" si="9"/>
        <v>  -   </v>
      </c>
      <c r="G68" s="351" t="str">
        <f t="shared" si="9"/>
        <v>  -   </v>
      </c>
      <c r="H68" s="351" t="str">
        <f t="shared" si="9"/>
        <v>  -   </v>
      </c>
      <c r="I68" s="351" t="str">
        <f t="shared" si="9"/>
        <v>  -   </v>
      </c>
    </row>
    <row r="69" ht="15.75" customHeight="1">
      <c r="A69" s="85" t="str">
        <f t="shared" si="1"/>
        <v>Jawar</v>
      </c>
      <c r="B69" s="72">
        <v>0.0</v>
      </c>
      <c r="C69" s="351" t="str">
        <f t="shared" si="4"/>
        <v>  -   </v>
      </c>
      <c r="D69" s="351" t="str">
        <f t="shared" ref="D69:I69" si="10">$B69*D16</f>
        <v>  -   </v>
      </c>
      <c r="E69" s="351" t="str">
        <f t="shared" si="10"/>
        <v>  -   </v>
      </c>
      <c r="F69" s="351" t="str">
        <f t="shared" si="10"/>
        <v>  -   </v>
      </c>
      <c r="G69" s="351" t="str">
        <f t="shared" si="10"/>
        <v>  -   </v>
      </c>
      <c r="H69" s="351" t="str">
        <f t="shared" si="10"/>
        <v>  -   </v>
      </c>
      <c r="I69" s="351" t="str">
        <f t="shared" si="10"/>
        <v>  -   </v>
      </c>
    </row>
    <row r="70" ht="15.75" customHeight="1">
      <c r="A70" s="117" t="str">
        <f t="shared" si="1"/>
        <v>Rabi Crop</v>
      </c>
      <c r="B70" s="72"/>
      <c r="C70" s="351"/>
      <c r="D70" s="351"/>
      <c r="E70" s="351"/>
      <c r="F70" s="351"/>
      <c r="G70" s="351"/>
      <c r="H70" s="351"/>
      <c r="I70" s="351"/>
    </row>
    <row r="71" ht="15.75" customHeight="1">
      <c r="A71" s="85" t="str">
        <f t="shared" si="1"/>
        <v>Wheat</v>
      </c>
      <c r="B71" s="72">
        <v>0.0</v>
      </c>
      <c r="C71" s="351" t="str">
        <f t="shared" ref="C71:I71" si="11">$B71*C18</f>
        <v>  -   </v>
      </c>
      <c r="D71" s="351" t="str">
        <f t="shared" si="11"/>
        <v>  -   </v>
      </c>
      <c r="E71" s="351" t="str">
        <f t="shared" si="11"/>
        <v>  -   </v>
      </c>
      <c r="F71" s="351" t="str">
        <f t="shared" si="11"/>
        <v>  -   </v>
      </c>
      <c r="G71" s="351" t="str">
        <f t="shared" si="11"/>
        <v>  -   </v>
      </c>
      <c r="H71" s="351" t="str">
        <f t="shared" si="11"/>
        <v>  -   </v>
      </c>
      <c r="I71" s="351" t="str">
        <f t="shared" si="11"/>
        <v>  -   </v>
      </c>
    </row>
    <row r="72" ht="15.75" customHeight="1">
      <c r="A72" s="85" t="str">
        <f t="shared" si="1"/>
        <v>Channa</v>
      </c>
      <c r="B72" s="72">
        <v>0.0</v>
      </c>
      <c r="C72" s="351" t="str">
        <f t="shared" ref="C72:I72" si="12">$B72*C19</f>
        <v>  -   </v>
      </c>
      <c r="D72" s="351" t="str">
        <f t="shared" si="12"/>
        <v>  -   </v>
      </c>
      <c r="E72" s="351" t="str">
        <f t="shared" si="12"/>
        <v>  -   </v>
      </c>
      <c r="F72" s="351" t="str">
        <f t="shared" si="12"/>
        <v>  -   </v>
      </c>
      <c r="G72" s="351" t="str">
        <f t="shared" si="12"/>
        <v>  -   </v>
      </c>
      <c r="H72" s="351" t="str">
        <f t="shared" si="12"/>
        <v>  -   </v>
      </c>
      <c r="I72" s="351" t="str">
        <f t="shared" si="12"/>
        <v>  -   </v>
      </c>
    </row>
    <row r="73" ht="15.75" customHeight="1">
      <c r="A73" s="85" t="str">
        <f t="shared" si="1"/>
        <v>Jawar</v>
      </c>
      <c r="B73" s="72">
        <v>0.0</v>
      </c>
      <c r="C73" s="351" t="str">
        <f t="shared" ref="C73:I73" si="13">$B73*C20</f>
        <v>  -   </v>
      </c>
      <c r="D73" s="351" t="str">
        <f t="shared" si="13"/>
        <v>  -   </v>
      </c>
      <c r="E73" s="351" t="str">
        <f t="shared" si="13"/>
        <v>  -   </v>
      </c>
      <c r="F73" s="351" t="str">
        <f t="shared" si="13"/>
        <v>  -   </v>
      </c>
      <c r="G73" s="351" t="str">
        <f t="shared" si="13"/>
        <v>  -   </v>
      </c>
      <c r="H73" s="351" t="str">
        <f t="shared" si="13"/>
        <v>  -   </v>
      </c>
      <c r="I73" s="351" t="str">
        <f t="shared" si="13"/>
        <v>  -   </v>
      </c>
    </row>
    <row r="74" ht="15.75" customHeight="1">
      <c r="A74" s="85" t="str">
        <f t="shared" si="1"/>
        <v>Maize</v>
      </c>
      <c r="B74" s="72">
        <v>20.0</v>
      </c>
      <c r="C74" s="351" t="str">
        <f t="shared" ref="C74:I74" si="14">$B74*C21</f>
        <v>  -   </v>
      </c>
      <c r="D74" s="351" t="str">
        <f t="shared" si="14"/>
        <v>  -   </v>
      </c>
      <c r="E74" s="351" t="str">
        <f t="shared" si="14"/>
        <v>  -   </v>
      </c>
      <c r="F74" s="351" t="str">
        <f t="shared" si="14"/>
        <v>  -   </v>
      </c>
      <c r="G74" s="351" t="str">
        <f t="shared" si="14"/>
        <v>  -   </v>
      </c>
      <c r="H74" s="351" t="str">
        <f t="shared" si="14"/>
        <v>  -   </v>
      </c>
      <c r="I74" s="351" t="str">
        <f t="shared" si="14"/>
        <v>  -   </v>
      </c>
    </row>
    <row r="75" ht="15.75" customHeight="1">
      <c r="A75" s="85" t="str">
        <f t="shared" si="1"/>
        <v>Safflower</v>
      </c>
      <c r="B75" s="72"/>
      <c r="C75" s="351" t="str">
        <f t="shared" ref="C75:I75" si="15">$B75*C22</f>
        <v>  -   </v>
      </c>
      <c r="D75" s="351" t="str">
        <f t="shared" si="15"/>
        <v>  -   </v>
      </c>
      <c r="E75" s="351" t="str">
        <f t="shared" si="15"/>
        <v>  -   </v>
      </c>
      <c r="F75" s="351" t="str">
        <f t="shared" si="15"/>
        <v>  -   </v>
      </c>
      <c r="G75" s="351" t="str">
        <f t="shared" si="15"/>
        <v>  -   </v>
      </c>
      <c r="H75" s="351" t="str">
        <f t="shared" si="15"/>
        <v>  -   </v>
      </c>
      <c r="I75" s="351" t="str">
        <f t="shared" si="15"/>
        <v>  -   </v>
      </c>
    </row>
    <row r="76" ht="15.75" customHeight="1">
      <c r="A76" s="85" t="str">
        <f t="shared" si="1"/>
        <v>Groundnut</v>
      </c>
      <c r="B76" s="72"/>
      <c r="C76" s="351" t="str">
        <f t="shared" ref="C76:I76" si="16">$B76*C23</f>
        <v>  -   </v>
      </c>
      <c r="D76" s="351" t="str">
        <f t="shared" si="16"/>
        <v>  -   </v>
      </c>
      <c r="E76" s="351" t="str">
        <f t="shared" si="16"/>
        <v>  -   </v>
      </c>
      <c r="F76" s="351" t="str">
        <f t="shared" si="16"/>
        <v>  -   </v>
      </c>
      <c r="G76" s="351" t="str">
        <f t="shared" si="16"/>
        <v>  -   </v>
      </c>
      <c r="H76" s="351" t="str">
        <f t="shared" si="16"/>
        <v>  -   </v>
      </c>
      <c r="I76" s="351" t="str">
        <f t="shared" si="16"/>
        <v>  -   </v>
      </c>
    </row>
    <row r="77" ht="15.75" customHeight="1">
      <c r="A77" s="85" t="str">
        <f t="shared" si="1"/>
        <v/>
      </c>
      <c r="B77" s="72"/>
      <c r="C77" s="351" t="str">
        <f t="shared" ref="C77:I77" si="17">$B77*C24</f>
        <v>  -   </v>
      </c>
      <c r="D77" s="351" t="str">
        <f t="shared" si="17"/>
        <v>  -   </v>
      </c>
      <c r="E77" s="351" t="str">
        <f t="shared" si="17"/>
        <v>  -   </v>
      </c>
      <c r="F77" s="351" t="str">
        <f t="shared" si="17"/>
        <v>  -   </v>
      </c>
      <c r="G77" s="351" t="str">
        <f t="shared" si="17"/>
        <v>  -   </v>
      </c>
      <c r="H77" s="351" t="str">
        <f t="shared" si="17"/>
        <v>  -   </v>
      </c>
      <c r="I77" s="351" t="str">
        <f t="shared" si="17"/>
        <v>  -   </v>
      </c>
    </row>
    <row r="78" ht="15.75" customHeight="1">
      <c r="A78" s="85" t="str">
        <f t="shared" si="1"/>
        <v/>
      </c>
      <c r="B78" s="72"/>
      <c r="C78" s="351" t="str">
        <f t="shared" ref="C78:I78" si="18">$B78*C25</f>
        <v>  -   </v>
      </c>
      <c r="D78" s="351" t="str">
        <f t="shared" si="18"/>
        <v>  -   </v>
      </c>
      <c r="E78" s="351" t="str">
        <f t="shared" si="18"/>
        <v>  -   </v>
      </c>
      <c r="F78" s="351" t="str">
        <f t="shared" si="18"/>
        <v>  -   </v>
      </c>
      <c r="G78" s="351" t="str">
        <f t="shared" si="18"/>
        <v>  -   </v>
      </c>
      <c r="H78" s="351" t="str">
        <f t="shared" si="18"/>
        <v>  -   </v>
      </c>
      <c r="I78" s="351" t="str">
        <f t="shared" si="18"/>
        <v>  -   </v>
      </c>
    </row>
    <row r="79" ht="15.75" customHeight="1">
      <c r="A79" s="117" t="str">
        <f t="shared" si="1"/>
        <v>Summer</v>
      </c>
      <c r="B79" s="72"/>
      <c r="C79" s="351"/>
      <c r="D79" s="351"/>
      <c r="E79" s="351"/>
      <c r="F79" s="351"/>
      <c r="G79" s="351"/>
      <c r="H79" s="351"/>
      <c r="I79" s="351"/>
    </row>
    <row r="80" ht="15.75" customHeight="1">
      <c r="A80" s="85" t="str">
        <f t="shared" si="1"/>
        <v>Soybean</v>
      </c>
      <c r="B80" s="72"/>
      <c r="C80" s="351" t="str">
        <f t="shared" ref="C80:I80" si="19">$B80*C27</f>
        <v>  -   </v>
      </c>
      <c r="D80" s="351" t="str">
        <f t="shared" si="19"/>
        <v>  -   </v>
      </c>
      <c r="E80" s="351" t="str">
        <f t="shared" si="19"/>
        <v>  -   </v>
      </c>
      <c r="F80" s="351" t="str">
        <f t="shared" si="19"/>
        <v>  -   </v>
      </c>
      <c r="G80" s="351" t="str">
        <f t="shared" si="19"/>
        <v>  -   </v>
      </c>
      <c r="H80" s="351" t="str">
        <f t="shared" si="19"/>
        <v>  -   </v>
      </c>
      <c r="I80" s="351" t="str">
        <f t="shared" si="19"/>
        <v>  -   </v>
      </c>
    </row>
    <row r="81" ht="15.75" customHeight="1">
      <c r="A81" s="85" t="str">
        <f t="shared" si="1"/>
        <v/>
      </c>
      <c r="B81" s="72"/>
      <c r="C81" s="351" t="str">
        <f t="shared" ref="C81:I81" si="20">$B81*C28</f>
        <v>  -   </v>
      </c>
      <c r="D81" s="351" t="str">
        <f t="shared" si="20"/>
        <v>  -   </v>
      </c>
      <c r="E81" s="351" t="str">
        <f t="shared" si="20"/>
        <v>  -   </v>
      </c>
      <c r="F81" s="351" t="str">
        <f t="shared" si="20"/>
        <v>  -   </v>
      </c>
      <c r="G81" s="351" t="str">
        <f t="shared" si="20"/>
        <v>  -   </v>
      </c>
      <c r="H81" s="351" t="str">
        <f t="shared" si="20"/>
        <v>  -   </v>
      </c>
      <c r="I81" s="351" t="str">
        <f t="shared" si="20"/>
        <v>  -   </v>
      </c>
    </row>
    <row r="82" ht="15.75" customHeight="1">
      <c r="A82" s="85" t="str">
        <f t="shared" si="1"/>
        <v/>
      </c>
      <c r="B82" s="72"/>
      <c r="C82" s="351" t="str">
        <f t="shared" ref="C82:I82" si="21">$B82*C29</f>
        <v>  -   </v>
      </c>
      <c r="D82" s="351" t="str">
        <f t="shared" si="21"/>
        <v>  -   </v>
      </c>
      <c r="E82" s="351" t="str">
        <f t="shared" si="21"/>
        <v>  -   </v>
      </c>
      <c r="F82" s="351" t="str">
        <f t="shared" si="21"/>
        <v>  -   </v>
      </c>
      <c r="G82" s="351" t="str">
        <f t="shared" si="21"/>
        <v>  -   </v>
      </c>
      <c r="H82" s="351" t="str">
        <f t="shared" si="21"/>
        <v>  -   </v>
      </c>
      <c r="I82" s="351" t="str">
        <f t="shared" si="21"/>
        <v>  -   </v>
      </c>
    </row>
    <row r="83" ht="15.75" customHeight="1">
      <c r="A83" s="85" t="str">
        <f t="shared" si="1"/>
        <v/>
      </c>
      <c r="B83" s="72"/>
      <c r="C83" s="351" t="str">
        <f t="shared" ref="C83:I83" si="22">$B83*C30</f>
        <v>  -   </v>
      </c>
      <c r="D83" s="351" t="str">
        <f t="shared" si="22"/>
        <v>  -   </v>
      </c>
      <c r="E83" s="351" t="str">
        <f t="shared" si="22"/>
        <v>  -   </v>
      </c>
      <c r="F83" s="351" t="str">
        <f t="shared" si="22"/>
        <v>  -   </v>
      </c>
      <c r="G83" s="351" t="str">
        <f t="shared" si="22"/>
        <v>  -   </v>
      </c>
      <c r="H83" s="351" t="str">
        <f t="shared" si="22"/>
        <v>  -   </v>
      </c>
      <c r="I83" s="351" t="str">
        <f t="shared" si="22"/>
        <v>  -   </v>
      </c>
    </row>
    <row r="84" ht="15.75" customHeight="1">
      <c r="A84" s="85" t="str">
        <f t="shared" si="1"/>
        <v/>
      </c>
      <c r="B84" s="72"/>
      <c r="C84" s="351" t="str">
        <f t="shared" ref="C84:I84" si="23">$B84*C31</f>
        <v>  -   </v>
      </c>
      <c r="D84" s="351" t="str">
        <f t="shared" si="23"/>
        <v>  -   </v>
      </c>
      <c r="E84" s="351" t="str">
        <f t="shared" si="23"/>
        <v>  -   </v>
      </c>
      <c r="F84" s="351" t="str">
        <f t="shared" si="23"/>
        <v>  -   </v>
      </c>
      <c r="G84" s="351" t="str">
        <f t="shared" si="23"/>
        <v>  -   </v>
      </c>
      <c r="H84" s="351" t="str">
        <f t="shared" si="23"/>
        <v>  -   </v>
      </c>
      <c r="I84" s="351" t="str">
        <f t="shared" si="23"/>
        <v>  -   </v>
      </c>
    </row>
    <row r="85" ht="15.75" customHeight="1">
      <c r="A85" s="117" t="str">
        <f t="shared" si="1"/>
        <v>Fruit  &amp; Vegetables Crop Production Details</v>
      </c>
      <c r="B85" s="72"/>
      <c r="C85" s="351"/>
      <c r="D85" s="351"/>
      <c r="E85" s="351"/>
      <c r="F85" s="351"/>
      <c r="G85" s="351"/>
      <c r="H85" s="351"/>
      <c r="I85" s="351"/>
    </row>
    <row r="86" ht="15.75" customHeight="1">
      <c r="A86" s="85" t="str">
        <f t="shared" si="1"/>
        <v>Onion</v>
      </c>
      <c r="B86" s="72"/>
      <c r="C86" s="351" t="str">
        <f t="shared" ref="C86:I86" si="24">$B86*C33</f>
        <v>  -   </v>
      </c>
      <c r="D86" s="351" t="str">
        <f t="shared" si="24"/>
        <v>  -   </v>
      </c>
      <c r="E86" s="351" t="str">
        <f t="shared" si="24"/>
        <v>  -   </v>
      </c>
      <c r="F86" s="351" t="str">
        <f t="shared" si="24"/>
        <v>  -   </v>
      </c>
      <c r="G86" s="351" t="str">
        <f t="shared" si="24"/>
        <v>  -   </v>
      </c>
      <c r="H86" s="351" t="str">
        <f t="shared" si="24"/>
        <v>  -   </v>
      </c>
      <c r="I86" s="351" t="str">
        <f t="shared" si="24"/>
        <v>  -   </v>
      </c>
    </row>
    <row r="87" ht="15.75" customHeight="1">
      <c r="A87" s="85" t="str">
        <f t="shared" si="1"/>
        <v>Tomato</v>
      </c>
      <c r="B87" s="72"/>
      <c r="C87" s="351" t="str">
        <f t="shared" ref="C87:I87" si="25">$B87*C34</f>
        <v>  -   </v>
      </c>
      <c r="D87" s="351" t="str">
        <f t="shared" si="25"/>
        <v>  -   </v>
      </c>
      <c r="E87" s="351" t="str">
        <f t="shared" si="25"/>
        <v>  -   </v>
      </c>
      <c r="F87" s="351" t="str">
        <f t="shared" si="25"/>
        <v>  -   </v>
      </c>
      <c r="G87" s="351" t="str">
        <f t="shared" si="25"/>
        <v>  -   </v>
      </c>
      <c r="H87" s="351" t="str">
        <f t="shared" si="25"/>
        <v>  -   </v>
      </c>
      <c r="I87" s="351" t="str">
        <f t="shared" si="25"/>
        <v>  -   </v>
      </c>
    </row>
    <row r="88" ht="15.75" customHeight="1">
      <c r="A88" s="85" t="str">
        <f t="shared" si="1"/>
        <v>Okra</v>
      </c>
      <c r="B88" s="72"/>
      <c r="C88" s="351" t="str">
        <f t="shared" ref="C88:I88" si="26">$B88*C35</f>
        <v>  -   </v>
      </c>
      <c r="D88" s="351" t="str">
        <f t="shared" si="26"/>
        <v>  -   </v>
      </c>
      <c r="E88" s="351" t="str">
        <f t="shared" si="26"/>
        <v>  -   </v>
      </c>
      <c r="F88" s="351" t="str">
        <f t="shared" si="26"/>
        <v>  -   </v>
      </c>
      <c r="G88" s="351" t="str">
        <f t="shared" si="26"/>
        <v>  -   </v>
      </c>
      <c r="H88" s="351" t="str">
        <f t="shared" si="26"/>
        <v>  -   </v>
      </c>
      <c r="I88" s="351" t="str">
        <f t="shared" si="26"/>
        <v>  -   </v>
      </c>
    </row>
    <row r="89" ht="15.75" customHeight="1">
      <c r="A89" s="85" t="str">
        <f t="shared" si="1"/>
        <v>Chilli</v>
      </c>
      <c r="B89" s="72"/>
      <c r="C89" s="351" t="str">
        <f t="shared" ref="C89:I89" si="27">$B89*C36</f>
        <v>  -   </v>
      </c>
      <c r="D89" s="351" t="str">
        <f t="shared" si="27"/>
        <v>  -   </v>
      </c>
      <c r="E89" s="351" t="str">
        <f t="shared" si="27"/>
        <v>  -   </v>
      </c>
      <c r="F89" s="351" t="str">
        <f t="shared" si="27"/>
        <v>  -   </v>
      </c>
      <c r="G89" s="351" t="str">
        <f t="shared" si="27"/>
        <v>  -   </v>
      </c>
      <c r="H89" s="351" t="str">
        <f t="shared" si="27"/>
        <v>  -   </v>
      </c>
      <c r="I89" s="351" t="str">
        <f t="shared" si="27"/>
        <v>  -   </v>
      </c>
    </row>
    <row r="90" ht="15.75" customHeight="1">
      <c r="A90" s="85" t="str">
        <f t="shared" si="1"/>
        <v>Potato</v>
      </c>
      <c r="B90" s="72"/>
      <c r="C90" s="351" t="str">
        <f t="shared" ref="C90:I90" si="28">$B90*C37</f>
        <v>  -   </v>
      </c>
      <c r="D90" s="351" t="str">
        <f t="shared" si="28"/>
        <v>  -   </v>
      </c>
      <c r="E90" s="351" t="str">
        <f t="shared" si="28"/>
        <v>  -   </v>
      </c>
      <c r="F90" s="351" t="str">
        <f t="shared" si="28"/>
        <v>  -   </v>
      </c>
      <c r="G90" s="351" t="str">
        <f t="shared" si="28"/>
        <v>  -   </v>
      </c>
      <c r="H90" s="351" t="str">
        <f t="shared" si="28"/>
        <v>  -   </v>
      </c>
      <c r="I90" s="351" t="str">
        <f t="shared" si="28"/>
        <v>  -   </v>
      </c>
    </row>
    <row r="91" ht="15.75" customHeight="1">
      <c r="A91" s="85" t="str">
        <f t="shared" si="1"/>
        <v/>
      </c>
      <c r="B91" s="72"/>
      <c r="C91" s="351" t="str">
        <f t="shared" ref="C91:I91" si="29">$B91*C38</f>
        <v>  -   </v>
      </c>
      <c r="D91" s="351" t="str">
        <f t="shared" si="29"/>
        <v>  -   </v>
      </c>
      <c r="E91" s="351" t="str">
        <f t="shared" si="29"/>
        <v>  -   </v>
      </c>
      <c r="F91" s="351" t="str">
        <f t="shared" si="29"/>
        <v>  -   </v>
      </c>
      <c r="G91" s="351" t="str">
        <f t="shared" si="29"/>
        <v>  -   </v>
      </c>
      <c r="H91" s="351" t="str">
        <f t="shared" si="29"/>
        <v>  -   </v>
      </c>
      <c r="I91" s="351" t="str">
        <f t="shared" si="29"/>
        <v>  -   </v>
      </c>
    </row>
    <row r="92" ht="15.75" customHeight="1">
      <c r="A92" s="85" t="str">
        <f t="shared" si="1"/>
        <v/>
      </c>
      <c r="B92" s="72"/>
      <c r="C92" s="351" t="str">
        <f t="shared" ref="C92:I92" si="30">$B92*C39</f>
        <v>  -   </v>
      </c>
      <c r="D92" s="351" t="str">
        <f t="shared" si="30"/>
        <v>  -   </v>
      </c>
      <c r="E92" s="351" t="str">
        <f t="shared" si="30"/>
        <v>  -   </v>
      </c>
      <c r="F92" s="351" t="str">
        <f t="shared" si="30"/>
        <v>  -   </v>
      </c>
      <c r="G92" s="351" t="str">
        <f t="shared" si="30"/>
        <v>  -   </v>
      </c>
      <c r="H92" s="351" t="str">
        <f t="shared" si="30"/>
        <v>  -   </v>
      </c>
      <c r="I92" s="351" t="str">
        <f t="shared" si="30"/>
        <v>  -   </v>
      </c>
    </row>
    <row r="93" ht="15.75" customHeight="1">
      <c r="A93" s="85" t="str">
        <f t="shared" si="1"/>
        <v/>
      </c>
      <c r="B93" s="72"/>
      <c r="C93" s="351" t="str">
        <f t="shared" ref="C93:I93" si="31">$B93*C40</f>
        <v>  -   </v>
      </c>
      <c r="D93" s="351" t="str">
        <f t="shared" si="31"/>
        <v>  -   </v>
      </c>
      <c r="E93" s="351" t="str">
        <f t="shared" si="31"/>
        <v>  -   </v>
      </c>
      <c r="F93" s="351" t="str">
        <f t="shared" si="31"/>
        <v>  -   </v>
      </c>
      <c r="G93" s="351" t="str">
        <f t="shared" si="31"/>
        <v>  -   </v>
      </c>
      <c r="H93" s="351" t="str">
        <f t="shared" si="31"/>
        <v>  -   </v>
      </c>
      <c r="I93" s="351" t="str">
        <f t="shared" si="31"/>
        <v>  -   </v>
      </c>
    </row>
    <row r="94" ht="15.75" customHeight="1">
      <c r="A94" s="85" t="str">
        <f t="shared" si="1"/>
        <v/>
      </c>
      <c r="B94" s="72"/>
      <c r="C94" s="351" t="str">
        <f t="shared" ref="C94:I94" si="32">$B94*C41</f>
        <v>  -   </v>
      </c>
      <c r="D94" s="351" t="str">
        <f t="shared" si="32"/>
        <v>  -   </v>
      </c>
      <c r="E94" s="351" t="str">
        <f t="shared" si="32"/>
        <v>  -   </v>
      </c>
      <c r="F94" s="351" t="str">
        <f t="shared" si="32"/>
        <v>  -   </v>
      </c>
      <c r="G94" s="351" t="str">
        <f t="shared" si="32"/>
        <v>  -   </v>
      </c>
      <c r="H94" s="351" t="str">
        <f t="shared" si="32"/>
        <v>  -   </v>
      </c>
      <c r="I94" s="351" t="str">
        <f t="shared" si="32"/>
        <v>  -   </v>
      </c>
    </row>
    <row r="95" ht="15.75" customHeight="1">
      <c r="A95" s="85" t="str">
        <f t="shared" si="1"/>
        <v>Onion</v>
      </c>
      <c r="B95" s="72"/>
      <c r="C95" s="351" t="str">
        <f t="shared" ref="C95:I95" si="33">$B95*C42</f>
        <v>  -   </v>
      </c>
      <c r="D95" s="351" t="str">
        <f t="shared" si="33"/>
        <v>  -   </v>
      </c>
      <c r="E95" s="351" t="str">
        <f t="shared" si="33"/>
        <v>  -   </v>
      </c>
      <c r="F95" s="351" t="str">
        <f t="shared" si="33"/>
        <v>  -   </v>
      </c>
      <c r="G95" s="351" t="str">
        <f t="shared" si="33"/>
        <v>  -   </v>
      </c>
      <c r="H95" s="351" t="str">
        <f t="shared" si="33"/>
        <v>  -   </v>
      </c>
      <c r="I95" s="351" t="str">
        <f t="shared" si="33"/>
        <v>  -   </v>
      </c>
    </row>
    <row r="96" ht="15.75" customHeight="1">
      <c r="A96" s="85" t="str">
        <f t="shared" si="1"/>
        <v>Tomato</v>
      </c>
      <c r="B96" s="72"/>
      <c r="C96" s="351" t="str">
        <f t="shared" ref="C96:I96" si="34">$B96*C43</f>
        <v>  -   </v>
      </c>
      <c r="D96" s="351" t="str">
        <f t="shared" si="34"/>
        <v>  -   </v>
      </c>
      <c r="E96" s="351" t="str">
        <f t="shared" si="34"/>
        <v>  -   </v>
      </c>
      <c r="F96" s="351" t="str">
        <f t="shared" si="34"/>
        <v>  -   </v>
      </c>
      <c r="G96" s="351" t="str">
        <f t="shared" si="34"/>
        <v>  -   </v>
      </c>
      <c r="H96" s="351" t="str">
        <f t="shared" si="34"/>
        <v>  -   </v>
      </c>
      <c r="I96" s="351" t="str">
        <f t="shared" si="34"/>
        <v>  -   </v>
      </c>
    </row>
    <row r="97" ht="15.75" customHeight="1">
      <c r="A97" s="85" t="str">
        <f t="shared" si="1"/>
        <v>Okra</v>
      </c>
      <c r="B97" s="72"/>
      <c r="C97" s="351" t="str">
        <f t="shared" ref="C97:I97" si="35">$B97*C44</f>
        <v>  -   </v>
      </c>
      <c r="D97" s="351" t="str">
        <f t="shared" si="35"/>
        <v>  -   </v>
      </c>
      <c r="E97" s="351" t="str">
        <f t="shared" si="35"/>
        <v>  -   </v>
      </c>
      <c r="F97" s="351" t="str">
        <f t="shared" si="35"/>
        <v>  -   </v>
      </c>
      <c r="G97" s="351" t="str">
        <f t="shared" si="35"/>
        <v>  -   </v>
      </c>
      <c r="H97" s="351" t="str">
        <f t="shared" si="35"/>
        <v>  -   </v>
      </c>
      <c r="I97" s="351" t="str">
        <f t="shared" si="35"/>
        <v>  -   </v>
      </c>
    </row>
    <row r="98" ht="15.75" customHeight="1">
      <c r="A98" s="85" t="str">
        <f t="shared" si="1"/>
        <v>Chilli</v>
      </c>
      <c r="B98" s="72"/>
      <c r="C98" s="351" t="str">
        <f t="shared" ref="C98:I98" si="36">$B98*C45</f>
        <v>  -   </v>
      </c>
      <c r="D98" s="351" t="str">
        <f t="shared" si="36"/>
        <v>  -   </v>
      </c>
      <c r="E98" s="351" t="str">
        <f t="shared" si="36"/>
        <v>  -   </v>
      </c>
      <c r="F98" s="351" t="str">
        <f t="shared" si="36"/>
        <v>  -   </v>
      </c>
      <c r="G98" s="351" t="str">
        <f t="shared" si="36"/>
        <v>  -   </v>
      </c>
      <c r="H98" s="351" t="str">
        <f t="shared" si="36"/>
        <v>  -   </v>
      </c>
      <c r="I98" s="351" t="str">
        <f t="shared" si="36"/>
        <v>  -   </v>
      </c>
    </row>
    <row r="99" ht="15.75" customHeight="1">
      <c r="A99" s="85" t="str">
        <f t="shared" si="1"/>
        <v>Brinjal</v>
      </c>
      <c r="B99" s="72"/>
      <c r="C99" s="351" t="str">
        <f t="shared" ref="C99:I99" si="37">$B99*C46</f>
        <v>  -   </v>
      </c>
      <c r="D99" s="351" t="str">
        <f t="shared" si="37"/>
        <v>  -   </v>
      </c>
      <c r="E99" s="351" t="str">
        <f t="shared" si="37"/>
        <v>  -   </v>
      </c>
      <c r="F99" s="351" t="str">
        <f t="shared" si="37"/>
        <v>  -   </v>
      </c>
      <c r="G99" s="351" t="str">
        <f t="shared" si="37"/>
        <v>  -   </v>
      </c>
      <c r="H99" s="351" t="str">
        <f t="shared" si="37"/>
        <v>  -   </v>
      </c>
      <c r="I99" s="351" t="str">
        <f t="shared" si="37"/>
        <v>  -   </v>
      </c>
    </row>
    <row r="100" ht="15.75" customHeight="1">
      <c r="A100" s="85" t="str">
        <f t="shared" si="1"/>
        <v/>
      </c>
      <c r="B100" s="72"/>
      <c r="C100" s="351" t="str">
        <f t="shared" ref="C100:I100" si="38">$B100*C47</f>
        <v>  -   </v>
      </c>
      <c r="D100" s="351" t="str">
        <f t="shared" si="38"/>
        <v>  -   </v>
      </c>
      <c r="E100" s="351" t="str">
        <f t="shared" si="38"/>
        <v>  -   </v>
      </c>
      <c r="F100" s="351" t="str">
        <f t="shared" si="38"/>
        <v>  -   </v>
      </c>
      <c r="G100" s="351" t="str">
        <f t="shared" si="38"/>
        <v>  -   </v>
      </c>
      <c r="H100" s="351" t="str">
        <f t="shared" si="38"/>
        <v>  -   </v>
      </c>
      <c r="I100" s="351" t="str">
        <f t="shared" si="38"/>
        <v>  -   </v>
      </c>
    </row>
    <row r="101" ht="15.75" customHeight="1">
      <c r="A101" s="85" t="str">
        <f t="shared" si="1"/>
        <v/>
      </c>
      <c r="B101" s="72"/>
      <c r="C101" s="351" t="str">
        <f t="shared" ref="C101:I101" si="39">$B101*C48</f>
        <v>  -   </v>
      </c>
      <c r="D101" s="351" t="str">
        <f t="shared" si="39"/>
        <v>  -   </v>
      </c>
      <c r="E101" s="351" t="str">
        <f t="shared" si="39"/>
        <v>  -   </v>
      </c>
      <c r="F101" s="351" t="str">
        <f t="shared" si="39"/>
        <v>  -   </v>
      </c>
      <c r="G101" s="351" t="str">
        <f t="shared" si="39"/>
        <v>  -   </v>
      </c>
      <c r="H101" s="351" t="str">
        <f t="shared" si="39"/>
        <v>  -   </v>
      </c>
      <c r="I101" s="351" t="str">
        <f t="shared" si="39"/>
        <v>  -   </v>
      </c>
    </row>
    <row r="102" ht="15.75" customHeight="1">
      <c r="A102" s="85" t="str">
        <f t="shared" si="1"/>
        <v/>
      </c>
      <c r="B102" s="72"/>
      <c r="C102" s="351" t="str">
        <f t="shared" ref="C102:I102" si="40">$B102*C49</f>
        <v>  -   </v>
      </c>
      <c r="D102" s="351" t="str">
        <f t="shared" si="40"/>
        <v>  -   </v>
      </c>
      <c r="E102" s="351" t="str">
        <f t="shared" si="40"/>
        <v>  -   </v>
      </c>
      <c r="F102" s="351" t="str">
        <f t="shared" si="40"/>
        <v>  -   </v>
      </c>
      <c r="G102" s="351" t="str">
        <f t="shared" si="40"/>
        <v>  -   </v>
      </c>
      <c r="H102" s="351" t="str">
        <f t="shared" si="40"/>
        <v>  -   </v>
      </c>
      <c r="I102" s="351" t="str">
        <f t="shared" si="40"/>
        <v>  -   </v>
      </c>
    </row>
    <row r="103" ht="15.75" customHeight="1">
      <c r="A103" s="85" t="str">
        <f t="shared" si="1"/>
        <v/>
      </c>
      <c r="B103" s="72"/>
      <c r="C103" s="351" t="str">
        <f t="shared" ref="C103:I103" si="41">$B103*C50</f>
        <v>  -   </v>
      </c>
      <c r="D103" s="351" t="str">
        <f t="shared" si="41"/>
        <v>  -   </v>
      </c>
      <c r="E103" s="351" t="str">
        <f t="shared" si="41"/>
        <v>  -   </v>
      </c>
      <c r="F103" s="351" t="str">
        <f t="shared" si="41"/>
        <v>  -   </v>
      </c>
      <c r="G103" s="351" t="str">
        <f t="shared" si="41"/>
        <v>  -   </v>
      </c>
      <c r="H103" s="351" t="str">
        <f t="shared" si="41"/>
        <v>  -   </v>
      </c>
      <c r="I103" s="351" t="str">
        <f t="shared" si="41"/>
        <v>  -   </v>
      </c>
    </row>
    <row r="104" ht="15.75" customHeight="1">
      <c r="A104" s="85" t="str">
        <f t="shared" si="1"/>
        <v/>
      </c>
      <c r="B104" s="72"/>
      <c r="C104" s="351" t="str">
        <f t="shared" ref="C104:I104" si="42">$B104*C51</f>
        <v>  -   </v>
      </c>
      <c r="D104" s="351" t="str">
        <f t="shared" si="42"/>
        <v>  -   </v>
      </c>
      <c r="E104" s="351" t="str">
        <f t="shared" si="42"/>
        <v>  -   </v>
      </c>
      <c r="F104" s="351" t="str">
        <f t="shared" si="42"/>
        <v>  -   </v>
      </c>
      <c r="G104" s="351" t="str">
        <f t="shared" si="42"/>
        <v>  -   </v>
      </c>
      <c r="H104" s="351" t="str">
        <f t="shared" si="42"/>
        <v>  -   </v>
      </c>
      <c r="I104" s="351" t="str">
        <f t="shared" si="42"/>
        <v>  -   </v>
      </c>
    </row>
    <row r="105" ht="15.75" customHeight="1">
      <c r="A105" s="85" t="str">
        <f t="shared" si="1"/>
        <v/>
      </c>
      <c r="B105" s="72"/>
      <c r="C105" s="351" t="str">
        <f t="shared" ref="C105:I105" si="43">$B105*C52</f>
        <v>  -   </v>
      </c>
      <c r="D105" s="351" t="str">
        <f t="shared" si="43"/>
        <v>  -   </v>
      </c>
      <c r="E105" s="351" t="str">
        <f t="shared" si="43"/>
        <v>  -   </v>
      </c>
      <c r="F105" s="351" t="str">
        <f t="shared" si="43"/>
        <v>  -   </v>
      </c>
      <c r="G105" s="351" t="str">
        <f t="shared" si="43"/>
        <v>  -   </v>
      </c>
      <c r="H105" s="351" t="str">
        <f t="shared" si="43"/>
        <v>  -   </v>
      </c>
      <c r="I105" s="351" t="str">
        <f t="shared" si="43"/>
        <v>  -   </v>
      </c>
    </row>
    <row r="106" ht="15.75" customHeight="1">
      <c r="A106" s="85" t="str">
        <f t="shared" si="1"/>
        <v/>
      </c>
      <c r="B106" s="72"/>
      <c r="C106" s="351" t="str">
        <f t="shared" ref="C106:I106" si="44">$B106*C53</f>
        <v>  -   </v>
      </c>
      <c r="D106" s="351" t="str">
        <f t="shared" si="44"/>
        <v>  -   </v>
      </c>
      <c r="E106" s="351" t="str">
        <f t="shared" si="44"/>
        <v>  -   </v>
      </c>
      <c r="F106" s="351" t="str">
        <f t="shared" si="44"/>
        <v>  -   </v>
      </c>
      <c r="G106" s="351" t="str">
        <f t="shared" si="44"/>
        <v>  -   </v>
      </c>
      <c r="H106" s="351" t="str">
        <f t="shared" si="44"/>
        <v>  -   </v>
      </c>
      <c r="I106" s="351" t="str">
        <f t="shared" si="44"/>
        <v>  -   </v>
      </c>
    </row>
    <row r="107" ht="15.75" customHeight="1">
      <c r="A107" s="85" t="str">
        <f t="shared" si="1"/>
        <v>Pomegranate</v>
      </c>
      <c r="B107" s="72"/>
      <c r="C107" s="351" t="str">
        <f t="shared" ref="C107:I107" si="45">$B107*C54</f>
        <v>  -   </v>
      </c>
      <c r="D107" s="351" t="str">
        <f t="shared" si="45"/>
        <v>  -   </v>
      </c>
      <c r="E107" s="351" t="str">
        <f t="shared" si="45"/>
        <v>  -   </v>
      </c>
      <c r="F107" s="351" t="str">
        <f t="shared" si="45"/>
        <v>  -   </v>
      </c>
      <c r="G107" s="351" t="str">
        <f t="shared" si="45"/>
        <v>  -   </v>
      </c>
      <c r="H107" s="351" t="str">
        <f t="shared" si="45"/>
        <v>  -   </v>
      </c>
      <c r="I107" s="351" t="str">
        <f t="shared" si="45"/>
        <v>  -   </v>
      </c>
    </row>
    <row r="108" ht="15.75" customHeight="1">
      <c r="A108" s="85" t="str">
        <f t="shared" si="1"/>
        <v>Custard Apple</v>
      </c>
      <c r="B108" s="72"/>
      <c r="C108" s="351" t="str">
        <f t="shared" ref="C108:I108" si="46">$B108*C55</f>
        <v>  -   </v>
      </c>
      <c r="D108" s="351" t="str">
        <f t="shared" si="46"/>
        <v>  -   </v>
      </c>
      <c r="E108" s="351" t="str">
        <f t="shared" si="46"/>
        <v>  -   </v>
      </c>
      <c r="F108" s="351" t="str">
        <f t="shared" si="46"/>
        <v>  -   </v>
      </c>
      <c r="G108" s="351" t="str">
        <f t="shared" si="46"/>
        <v>  -   </v>
      </c>
      <c r="H108" s="351" t="str">
        <f t="shared" si="46"/>
        <v>  -   </v>
      </c>
      <c r="I108" s="351" t="str">
        <f t="shared" si="46"/>
        <v>  -   </v>
      </c>
    </row>
    <row r="109" ht="15.75" customHeight="1">
      <c r="A109" s="85" t="str">
        <f t="shared" si="1"/>
        <v>Guava</v>
      </c>
      <c r="B109" s="72"/>
      <c r="C109" s="351" t="str">
        <f t="shared" ref="C109:I109" si="47">$B109*C56</f>
        <v>  -   </v>
      </c>
      <c r="D109" s="351" t="str">
        <f t="shared" si="47"/>
        <v>  -   </v>
      </c>
      <c r="E109" s="351" t="str">
        <f t="shared" si="47"/>
        <v>  -   </v>
      </c>
      <c r="F109" s="351" t="str">
        <f t="shared" si="47"/>
        <v>  -   </v>
      </c>
      <c r="G109" s="351" t="str">
        <f t="shared" si="47"/>
        <v>  -   </v>
      </c>
      <c r="H109" s="351" t="str">
        <f t="shared" si="47"/>
        <v>  -   </v>
      </c>
      <c r="I109" s="351" t="str">
        <f t="shared" si="47"/>
        <v>  -   </v>
      </c>
    </row>
    <row r="110" ht="15.75" customHeight="1">
      <c r="A110" s="85" t="str">
        <f t="shared" si="1"/>
        <v>Citrus</v>
      </c>
      <c r="B110" s="72"/>
      <c r="C110" s="351" t="str">
        <f t="shared" ref="C110:I110" si="48">$B110*C57</f>
        <v>  -   </v>
      </c>
      <c r="D110" s="351" t="str">
        <f t="shared" si="48"/>
        <v>  -   </v>
      </c>
      <c r="E110" s="351" t="str">
        <f t="shared" si="48"/>
        <v>  -   </v>
      </c>
      <c r="F110" s="351" t="str">
        <f t="shared" si="48"/>
        <v>  -   </v>
      </c>
      <c r="G110" s="351" t="str">
        <f t="shared" si="48"/>
        <v>  -   </v>
      </c>
      <c r="H110" s="351" t="str">
        <f t="shared" si="48"/>
        <v>  -   </v>
      </c>
      <c r="I110" s="351" t="str">
        <f t="shared" si="48"/>
        <v>  -   </v>
      </c>
    </row>
    <row r="111" ht="15.75" customHeight="1">
      <c r="A111" s="85"/>
      <c r="B111" s="72"/>
      <c r="C111" s="351"/>
      <c r="D111" s="351"/>
      <c r="E111" s="351"/>
      <c r="F111" s="351"/>
      <c r="G111" s="351"/>
      <c r="H111" s="351"/>
      <c r="I111" s="351"/>
    </row>
    <row r="112" ht="15.75" customHeight="1">
      <c r="A112" s="85"/>
      <c r="B112" s="72"/>
      <c r="C112" s="351"/>
      <c r="D112" s="351"/>
      <c r="E112" s="351"/>
      <c r="F112" s="351"/>
      <c r="G112" s="351"/>
      <c r="H112" s="351"/>
      <c r="I112" s="351"/>
    </row>
    <row r="113" ht="15.75" customHeight="1">
      <c r="A113" s="117" t="s">
        <v>703</v>
      </c>
      <c r="B113" s="85"/>
      <c r="C113" s="85"/>
      <c r="D113" s="85"/>
      <c r="E113" s="85"/>
      <c r="F113" s="85"/>
      <c r="G113" s="85"/>
      <c r="H113" s="85"/>
      <c r="I113" s="85"/>
    </row>
    <row r="114" ht="15.75" customHeight="1">
      <c r="A114" s="85" t="s">
        <v>704</v>
      </c>
      <c r="B114" s="72">
        <v>0.0</v>
      </c>
      <c r="C114" s="351" t="str">
        <f t="shared" ref="C114:I114" si="49">SUM(C62:C110)*$B$114</f>
        <v>  -   </v>
      </c>
      <c r="D114" s="351" t="str">
        <f t="shared" si="49"/>
        <v>  -   </v>
      </c>
      <c r="E114" s="351" t="str">
        <f t="shared" si="49"/>
        <v>  -   </v>
      </c>
      <c r="F114" s="351" t="str">
        <f t="shared" si="49"/>
        <v>  -   </v>
      </c>
      <c r="G114" s="351" t="str">
        <f t="shared" si="49"/>
        <v>  -   </v>
      </c>
      <c r="H114" s="351" t="str">
        <f t="shared" si="49"/>
        <v>  -   </v>
      </c>
      <c r="I114" s="351" t="str">
        <f t="shared" si="49"/>
        <v>  -   </v>
      </c>
    </row>
    <row r="115" ht="15.75" customHeight="1">
      <c r="A115" s="85" t="s">
        <v>705</v>
      </c>
      <c r="B115" s="72">
        <v>0.0</v>
      </c>
      <c r="C115" s="351" t="str">
        <f t="shared" ref="C115:I115" si="50">SUM(C62:C110)*$B$115</f>
        <v>  -   </v>
      </c>
      <c r="D115" s="351" t="str">
        <f t="shared" si="50"/>
        <v>  -   </v>
      </c>
      <c r="E115" s="351" t="str">
        <f t="shared" si="50"/>
        <v>  -   </v>
      </c>
      <c r="F115" s="351" t="str">
        <f t="shared" si="50"/>
        <v>  -   </v>
      </c>
      <c r="G115" s="351" t="str">
        <f t="shared" si="50"/>
        <v>  -   </v>
      </c>
      <c r="H115" s="351" t="str">
        <f t="shared" si="50"/>
        <v>  -   </v>
      </c>
      <c r="I115" s="351" t="str">
        <f t="shared" si="50"/>
        <v>  -   </v>
      </c>
    </row>
    <row r="116" ht="15.75" customHeight="1">
      <c r="A116" s="85" t="s">
        <v>706</v>
      </c>
      <c r="B116" s="72">
        <v>0.0</v>
      </c>
      <c r="C116" s="351" t="str">
        <f t="shared" ref="C116:I116" si="51">SUM(C62:C110)*$B$116</f>
        <v>  -   </v>
      </c>
      <c r="D116" s="351" t="str">
        <f t="shared" si="51"/>
        <v>  -   </v>
      </c>
      <c r="E116" s="351" t="str">
        <f t="shared" si="51"/>
        <v>  -   </v>
      </c>
      <c r="F116" s="351" t="str">
        <f t="shared" si="51"/>
        <v>  -   </v>
      </c>
      <c r="G116" s="351" t="str">
        <f t="shared" si="51"/>
        <v>  -   </v>
      </c>
      <c r="H116" s="351" t="str">
        <f t="shared" si="51"/>
        <v>  -   </v>
      </c>
      <c r="I116" s="351" t="str">
        <f t="shared" si="51"/>
        <v>  -   </v>
      </c>
    </row>
    <row r="117" ht="15.75" customHeight="1">
      <c r="A117" s="117" t="s">
        <v>707</v>
      </c>
      <c r="B117" s="72"/>
      <c r="C117" s="85"/>
      <c r="D117" s="85"/>
      <c r="E117" s="85"/>
      <c r="F117" s="85"/>
      <c r="G117" s="85"/>
      <c r="H117" s="85"/>
      <c r="I117" s="85"/>
    </row>
    <row r="118" ht="15.75" customHeight="1">
      <c r="A118" s="85" t="s">
        <v>708</v>
      </c>
      <c r="B118" s="72">
        <v>0.0</v>
      </c>
      <c r="C118" s="351" t="str">
        <f t="shared" ref="C118:I118" si="52">SUM(C62:C110)*$B$118</f>
        <v>  -   </v>
      </c>
      <c r="D118" s="351" t="str">
        <f t="shared" si="52"/>
        <v>  -   </v>
      </c>
      <c r="E118" s="351" t="str">
        <f t="shared" si="52"/>
        <v>  -   </v>
      </c>
      <c r="F118" s="351" t="str">
        <f t="shared" si="52"/>
        <v>  -   </v>
      </c>
      <c r="G118" s="351" t="str">
        <f t="shared" si="52"/>
        <v>  -   </v>
      </c>
      <c r="H118" s="351" t="str">
        <f t="shared" si="52"/>
        <v>  -   </v>
      </c>
      <c r="I118" s="351" t="str">
        <f t="shared" si="52"/>
        <v>  -   </v>
      </c>
    </row>
    <row r="119" ht="15.75" customHeight="1">
      <c r="A119" s="85" t="s">
        <v>709</v>
      </c>
      <c r="B119" s="72">
        <v>0.0</v>
      </c>
      <c r="C119" s="351" t="str">
        <f t="shared" ref="C119:I119" si="53">SUM(C62:C110)*$B$119</f>
        <v>  -   </v>
      </c>
      <c r="D119" s="351" t="str">
        <f t="shared" si="53"/>
        <v>  -   </v>
      </c>
      <c r="E119" s="351" t="str">
        <f t="shared" si="53"/>
        <v>  -   </v>
      </c>
      <c r="F119" s="351" t="str">
        <f t="shared" si="53"/>
        <v>  -   </v>
      </c>
      <c r="G119" s="351" t="str">
        <f t="shared" si="53"/>
        <v>  -   </v>
      </c>
      <c r="H119" s="351" t="str">
        <f t="shared" si="53"/>
        <v>  -   </v>
      </c>
      <c r="I119" s="351" t="str">
        <f t="shared" si="53"/>
        <v>  -   </v>
      </c>
    </row>
    <row r="120" ht="15.75" customHeight="1"/>
    <row r="121" ht="15.75" customHeight="1"/>
    <row r="122" ht="15.75" customHeight="1">
      <c r="A122" s="26" t="s">
        <v>710</v>
      </c>
    </row>
    <row r="123" ht="15.75" customHeight="1">
      <c r="A123" s="45"/>
      <c r="B123" s="45"/>
      <c r="C123" s="45"/>
      <c r="D123" s="45"/>
      <c r="E123" s="45"/>
      <c r="F123" s="45"/>
      <c r="G123" s="45"/>
      <c r="H123" s="45"/>
    </row>
    <row r="124" ht="15.75" customHeight="1">
      <c r="A124" s="352"/>
      <c r="B124" s="352"/>
      <c r="C124" s="352"/>
      <c r="D124" s="353">
        <v>1.0</v>
      </c>
      <c r="E124" s="354" t="str">
        <f t="shared" ref="E124:J124" si="54">(D124*5%)+D124</f>
        <v>105.00%</v>
      </c>
      <c r="F124" s="354" t="str">
        <f t="shared" si="54"/>
        <v>110.25%</v>
      </c>
      <c r="G124" s="354" t="str">
        <f t="shared" si="54"/>
        <v>115.76%</v>
      </c>
      <c r="H124" s="354" t="str">
        <f t="shared" si="54"/>
        <v>121.55%</v>
      </c>
      <c r="I124" s="354" t="str">
        <f t="shared" si="54"/>
        <v>127.63%</v>
      </c>
      <c r="J124" s="354" t="str">
        <f t="shared" si="54"/>
        <v>134.01%</v>
      </c>
      <c r="K124" s="110"/>
      <c r="U124" s="110"/>
      <c r="V124" s="110"/>
      <c r="W124" s="110"/>
    </row>
    <row r="125" ht="15.75" customHeight="1">
      <c r="A125" s="110"/>
      <c r="B125" s="110"/>
      <c r="C125" s="110"/>
      <c r="D125" s="110"/>
      <c r="E125" s="110"/>
      <c r="F125" s="110"/>
      <c r="G125" s="110"/>
      <c r="H125" s="110"/>
      <c r="I125" s="110"/>
      <c r="J125" s="110"/>
      <c r="K125" s="110"/>
      <c r="U125" s="110"/>
      <c r="V125" s="110"/>
      <c r="W125" s="110"/>
    </row>
    <row r="126" ht="15.75" customHeight="1">
      <c r="A126" s="113" t="s">
        <v>174</v>
      </c>
      <c r="B126" s="113" t="s">
        <v>125</v>
      </c>
      <c r="C126" s="113" t="s">
        <v>141</v>
      </c>
      <c r="D126" s="114" t="s">
        <v>177</v>
      </c>
      <c r="E126" s="114" t="s">
        <v>178</v>
      </c>
      <c r="F126" s="114" t="s">
        <v>179</v>
      </c>
      <c r="G126" s="114" t="s">
        <v>180</v>
      </c>
      <c r="H126" s="114" t="s">
        <v>181</v>
      </c>
      <c r="I126" s="114" t="s">
        <v>182</v>
      </c>
      <c r="J126" s="114" t="s">
        <v>183</v>
      </c>
      <c r="K126" s="110"/>
      <c r="U126" s="110"/>
      <c r="V126" s="110"/>
      <c r="W126" s="110"/>
    </row>
    <row r="127" ht="15.75" customHeight="1">
      <c r="A127" s="117" t="s">
        <v>377</v>
      </c>
      <c r="B127" s="85"/>
      <c r="C127" s="85"/>
      <c r="D127" s="85"/>
      <c r="E127" s="85"/>
      <c r="F127" s="85"/>
      <c r="G127" s="85"/>
      <c r="H127" s="85"/>
      <c r="I127" s="85"/>
      <c r="J127" s="85"/>
      <c r="K127" s="110"/>
      <c r="U127" s="110"/>
      <c r="V127" s="110"/>
      <c r="W127" s="110"/>
    </row>
    <row r="128" ht="15.75" customHeight="1">
      <c r="A128" s="85" t="s">
        <v>711</v>
      </c>
      <c r="B128" s="85"/>
      <c r="C128" s="85"/>
      <c r="D128" s="85"/>
      <c r="E128" s="85"/>
      <c r="F128" s="85"/>
      <c r="G128" s="85"/>
      <c r="H128" s="85"/>
      <c r="I128" s="85"/>
      <c r="J128" s="85"/>
      <c r="K128" s="110"/>
      <c r="U128" s="110"/>
      <c r="V128" s="110"/>
      <c r="W128" s="110"/>
    </row>
    <row r="129" ht="15.75" customHeight="1">
      <c r="A129" s="117" t="str">
        <f t="shared" ref="A129:A179" si="55">A8</f>
        <v>Kharif Crops</v>
      </c>
      <c r="B129" s="85"/>
      <c r="C129" s="85"/>
      <c r="D129" s="85"/>
      <c r="E129" s="85"/>
      <c r="F129" s="85"/>
      <c r="G129" s="85"/>
      <c r="H129" s="85"/>
      <c r="I129" s="85"/>
      <c r="J129" s="85"/>
      <c r="K129" s="110"/>
      <c r="U129" s="110"/>
      <c r="V129" s="110"/>
      <c r="W129" s="110"/>
    </row>
    <row r="130" ht="15.75" customHeight="1">
      <c r="A130" s="85" t="str">
        <f t="shared" si="55"/>
        <v>Soybean</v>
      </c>
      <c r="B130" s="85"/>
      <c r="C130" s="72">
        <v>90.0</v>
      </c>
      <c r="D130" s="116" t="str">
        <f>(C62*(1-'5.Closing Stock &amp; W Capital'!$D$14))*$C$130*D$124</f>
        <v>  -   </v>
      </c>
      <c r="E130" s="116" t="str">
        <f>(D62*(1-'5.Closing Stock &amp; W Capital'!$D$14))*$C$130*E$124</f>
        <v>  -   </v>
      </c>
      <c r="F130" s="116" t="str">
        <f>(E62*(1-'5.Closing Stock &amp; W Capital'!$D$14))*$C$130*F$124</f>
        <v>  -   </v>
      </c>
      <c r="G130" s="116" t="str">
        <f>(F62*(1-'5.Closing Stock &amp; W Capital'!$D$14))*$C$130*G$124</f>
        <v>  -   </v>
      </c>
      <c r="H130" s="116" t="str">
        <f>(G62*(1-'5.Closing Stock &amp; W Capital'!$D$14))*$C$130*H$124</f>
        <v>  -   </v>
      </c>
      <c r="I130" s="116" t="str">
        <f>(H62*(1-'5.Closing Stock &amp; W Capital'!$D$14))*$C$130*I$124</f>
        <v>  -   </v>
      </c>
      <c r="J130" s="116" t="str">
        <f>(I62*(1-'5.Closing Stock &amp; W Capital'!$D$14))*$C$130*J$124</f>
        <v>  -   </v>
      </c>
      <c r="K130" s="110"/>
      <c r="U130" s="110"/>
      <c r="V130" s="110"/>
      <c r="W130" s="110"/>
    </row>
    <row r="131" ht="15.75" customHeight="1">
      <c r="A131" s="85" t="str">
        <f t="shared" si="55"/>
        <v>Redgram</v>
      </c>
      <c r="B131" s="85"/>
      <c r="C131" s="115">
        <v>80.0</v>
      </c>
      <c r="D131" s="116" t="str">
        <f>(C63*(1-'5.Closing Stock &amp; W Capital'!$D$14))*$C$131*D$124</f>
        <v>  -   </v>
      </c>
      <c r="E131" s="116" t="str">
        <f>((D63*(1-'5.Closing Stock &amp; W Capital'!$D$14))+(C63*'5.Closing Stock &amp; W Capital'!$D$14))*$C$131*E$124</f>
        <v>  -   </v>
      </c>
      <c r="F131" s="116" t="str">
        <f>((E63*(1-'5.Closing Stock &amp; W Capital'!$D$14))+(D63*'5.Closing Stock &amp; W Capital'!$D$14))*$C$131*F$124</f>
        <v>  -   </v>
      </c>
      <c r="G131" s="116" t="str">
        <f>((F63*(1-'5.Closing Stock &amp; W Capital'!$D$14))+(E63*'5.Closing Stock &amp; W Capital'!$D$14))*$C$131*G124</f>
        <v>  -   </v>
      </c>
      <c r="H131" s="116" t="str">
        <f>((G63*(1-'5.Closing Stock &amp; W Capital'!$D$14))+(F63*'5.Closing Stock &amp; W Capital'!$D$14))*$C$131*H124</f>
        <v>  -   </v>
      </c>
      <c r="I131" s="116" t="str">
        <f>((H63*(1-'5.Closing Stock &amp; W Capital'!$D$14))+(G63*'5.Closing Stock &amp; W Capital'!$D$14))*$C$131*I124</f>
        <v>  -   </v>
      </c>
      <c r="J131" s="116" t="str">
        <f>((I63*(1-'5.Closing Stock &amp; W Capital'!$D$14))+(H63*'5.Closing Stock &amp; W Capital'!$D$14))*$C$131*J124</f>
        <v>  -   </v>
      </c>
      <c r="K131" s="110"/>
      <c r="U131" s="111"/>
      <c r="V131" s="110"/>
      <c r="W131" s="110"/>
    </row>
    <row r="132" ht="15.75" customHeight="1">
      <c r="A132" s="85" t="str">
        <f t="shared" si="55"/>
        <v>Turmeric</v>
      </c>
      <c r="B132" s="85"/>
      <c r="C132" s="115">
        <v>65.0</v>
      </c>
      <c r="D132" s="116" t="str">
        <f>(C64*(1-'5.Closing Stock &amp; W Capital'!$D$14))*$C$132*D$124</f>
        <v>  -   </v>
      </c>
      <c r="E132" s="116" t="str">
        <f>((D64*(1-'5.Closing Stock &amp; W Capital'!$D$14))+(C64*'5.Closing Stock &amp; W Capital'!$D$14))*$C$132*E$124</f>
        <v>  -   </v>
      </c>
      <c r="F132" s="116" t="str">
        <f>((E64*(1-'5.Closing Stock &amp; W Capital'!$D$14))+(D64*'5.Closing Stock &amp; W Capital'!$D$14))*$C$132*F$124</f>
        <v>  -   </v>
      </c>
      <c r="G132" s="116" t="str">
        <f>((F64*(1-'5.Closing Stock &amp; W Capital'!$D$14))+(E64*'5.Closing Stock &amp; W Capital'!$D$14))*$C$132*G124</f>
        <v>  -   </v>
      </c>
      <c r="H132" s="116" t="str">
        <f>((G64*(1-'5.Closing Stock &amp; W Capital'!$D$14))+(F64*'5.Closing Stock &amp; W Capital'!$D$14))*$C$132*H124</f>
        <v>  -   </v>
      </c>
      <c r="I132" s="116" t="str">
        <f>((H64*(1-'5.Closing Stock &amp; W Capital'!$D$14))+(G64*'5.Closing Stock &amp; W Capital'!$D$14))*$C$132*I124</f>
        <v>  -   </v>
      </c>
      <c r="J132" s="116" t="str">
        <f>((I64*(1-'5.Closing Stock &amp; W Capital'!$D$14))+(H64*'5.Closing Stock &amp; W Capital'!$D$14))*$C$132*J124</f>
        <v>  -   </v>
      </c>
      <c r="K132" s="110"/>
      <c r="U132" s="110"/>
      <c r="V132" s="110"/>
      <c r="W132" s="110"/>
    </row>
    <row r="133" ht="15.75" customHeight="1">
      <c r="A133" s="85" t="str">
        <f t="shared" si="55"/>
        <v>Bengalgram</v>
      </c>
      <c r="B133" s="85"/>
      <c r="C133" s="115">
        <v>85.0</v>
      </c>
      <c r="D133" s="116" t="str">
        <f>(C65*(1-'5.Closing Stock &amp; W Capital'!$D$14))*$C$133*D$124</f>
        <v>  -   </v>
      </c>
      <c r="E133" s="116" t="str">
        <f>((D65*(1-'5.Closing Stock &amp; W Capital'!$D$14))+(C65*'5.Closing Stock &amp; W Capital'!$D$14))*$C$133*E$124</f>
        <v>  -   </v>
      </c>
      <c r="F133" s="116" t="str">
        <f>((E65*(1-'5.Closing Stock &amp; W Capital'!$D$14))+(D65*'5.Closing Stock &amp; W Capital'!$D$14))*$C$133*F$124</f>
        <v>  -   </v>
      </c>
      <c r="G133" s="116" t="str">
        <f>((F65*(1-'5.Closing Stock &amp; W Capital'!$D$14))+(E65*'5.Closing Stock &amp; W Capital'!$D$14))*$C$133*G$124</f>
        <v>  -   </v>
      </c>
      <c r="H133" s="116" t="str">
        <f>((G65*(1-'5.Closing Stock &amp; W Capital'!$D$14))+(F65*'5.Closing Stock &amp; W Capital'!$D$14))*$C$133*H$124</f>
        <v>  -   </v>
      </c>
      <c r="I133" s="116" t="str">
        <f>((H65*(1-'5.Closing Stock &amp; W Capital'!$D$14))+(G65*'5.Closing Stock &amp; W Capital'!$D$14))*$C$133*I$124</f>
        <v>  -   </v>
      </c>
      <c r="J133" s="116" t="str">
        <f>((I65*(1-'5.Closing Stock &amp; W Capital'!$D$14))+(H65*'5.Closing Stock &amp; W Capital'!$D$14))*$C$133*J$124</f>
        <v>  -   </v>
      </c>
      <c r="K133" s="110"/>
      <c r="U133" s="110"/>
      <c r="V133" s="110"/>
      <c r="W133" s="110"/>
    </row>
    <row r="134" ht="15.75" customHeight="1">
      <c r="A134" s="85" t="str">
        <f t="shared" si="55"/>
        <v>Channa</v>
      </c>
      <c r="B134" s="85"/>
      <c r="C134" s="115">
        <v>37.0</v>
      </c>
      <c r="D134" s="116" t="str">
        <f>(C66*(1-'5.Closing Stock &amp; W Capital'!$D$14))*$C$134*D$124</f>
        <v>  -   </v>
      </c>
      <c r="E134" s="116" t="str">
        <f>((D66*(1-'5.Closing Stock &amp; W Capital'!$D$14))+(C66*'5.Closing Stock &amp; W Capital'!$D$14))*$C$135*E$124</f>
        <v>  -   </v>
      </c>
      <c r="F134" s="116" t="str">
        <f>((E66*(1-'5.Closing Stock &amp; W Capital'!$D$14))+(D66*'5.Closing Stock &amp; W Capital'!$D$14))*$C$135*F$124</f>
        <v>  -   </v>
      </c>
      <c r="G134" s="116" t="str">
        <f>((F66*(1-'5.Closing Stock &amp; W Capital'!$D$14))+(E66*'5.Closing Stock &amp; W Capital'!$D$14))*$C$135*G$124</f>
        <v>  -   </v>
      </c>
      <c r="H134" s="116" t="str">
        <f>((G66*(1-'5.Closing Stock &amp; W Capital'!$D$14))+(F66*'5.Closing Stock &amp; W Capital'!$D$14))*$C$135*H$124</f>
        <v>  -   </v>
      </c>
      <c r="I134" s="116" t="str">
        <f>((H66*(1-'5.Closing Stock &amp; W Capital'!$D$14))+(G66*'5.Closing Stock &amp; W Capital'!$D$14))*$C$135*I$124</f>
        <v>  -   </v>
      </c>
      <c r="J134" s="116" t="str">
        <f>((I66*(1-'5.Closing Stock &amp; W Capital'!$D$14))+(H66*'5.Closing Stock &amp; W Capital'!$D$14))*$C$135*J$124</f>
        <v>  -   </v>
      </c>
      <c r="K134" s="110"/>
      <c r="U134" s="110"/>
      <c r="V134" s="110"/>
      <c r="W134" s="110"/>
    </row>
    <row r="135" ht="15.75" customHeight="1">
      <c r="A135" s="85" t="str">
        <f t="shared" si="55"/>
        <v>Udid</v>
      </c>
      <c r="B135" s="85"/>
      <c r="C135" s="115">
        <v>75.0</v>
      </c>
      <c r="D135" s="116" t="str">
        <f>(C67*(1-'5.Closing Stock &amp; W Capital'!$D$14))*$C$135*D$124</f>
        <v>  -   </v>
      </c>
      <c r="E135" s="116" t="str">
        <f>((D67*(1-'5.Closing Stock &amp; W Capital'!$D$14))+(C67*'5.Closing Stock &amp; W Capital'!$D$14))*$C$135*E$124</f>
        <v>  -   </v>
      </c>
      <c r="F135" s="116" t="str">
        <f>((E67*(1-'5.Closing Stock &amp; W Capital'!$D$14))+(D67*'5.Closing Stock &amp; W Capital'!$D$14))*$C$135*F$124</f>
        <v>  -   </v>
      </c>
      <c r="G135" s="116" t="str">
        <f>((F67*(1-'5.Closing Stock &amp; W Capital'!$D$14))+(E67*'5.Closing Stock &amp; W Capital'!$D$14))*$C$135*G$124</f>
        <v>  -   </v>
      </c>
      <c r="H135" s="116" t="str">
        <f>((G67*(1-'5.Closing Stock &amp; W Capital'!$D$14))+(F67*'5.Closing Stock &amp; W Capital'!$D$14))*$C$135*H$124</f>
        <v>  -   </v>
      </c>
      <c r="I135" s="116" t="str">
        <f>((H67*(1-'5.Closing Stock &amp; W Capital'!$D$14))+(G67*'5.Closing Stock &amp; W Capital'!$D$14))*$C$135*I$124</f>
        <v>  -   </v>
      </c>
      <c r="J135" s="116" t="str">
        <f>((I67*(1-'5.Closing Stock &amp; W Capital'!$D$14))+(H67*'5.Closing Stock &amp; W Capital'!$D$14))*$C$135*J$124</f>
        <v>  -   </v>
      </c>
      <c r="K135" s="110"/>
      <c r="U135" s="110"/>
      <c r="V135" s="110"/>
      <c r="W135" s="110"/>
    </row>
    <row r="136" ht="15.75" customHeight="1">
      <c r="A136" s="85" t="str">
        <f t="shared" si="55"/>
        <v>Bajra</v>
      </c>
      <c r="B136" s="85"/>
      <c r="C136" s="115">
        <v>30.0</v>
      </c>
      <c r="D136" s="116" t="str">
        <f>(C68*(1-'5.Closing Stock &amp; W Capital'!$D$14))*$C$136*D$124</f>
        <v>  -   </v>
      </c>
      <c r="E136" s="116" t="str">
        <f>((D68*(1-'5.Closing Stock &amp; W Capital'!$D$14))+(C68*'5.Closing Stock &amp; W Capital'!$D$14))*$C$136*E$124</f>
        <v>  -   </v>
      </c>
      <c r="F136" s="116" t="str">
        <f>((E68*(1-'5.Closing Stock &amp; W Capital'!$D$14))+(D68*'5.Closing Stock &amp; W Capital'!$D$14))*$C$136*F$124</f>
        <v>  -   </v>
      </c>
      <c r="G136" s="116" t="str">
        <f>((F68*(1-'5.Closing Stock &amp; W Capital'!$D$14))+(E68*'5.Closing Stock &amp; W Capital'!$D$14))*$C$136*G$124</f>
        <v>  -   </v>
      </c>
      <c r="H136" s="116" t="str">
        <f>((G68*(1-'5.Closing Stock &amp; W Capital'!$D$14))+(F68*'5.Closing Stock &amp; W Capital'!$D$14))*$C$136*H$124</f>
        <v>  -   </v>
      </c>
      <c r="I136" s="116" t="str">
        <f>((H68*(1-'5.Closing Stock &amp; W Capital'!$D$14))+(G68*'5.Closing Stock &amp; W Capital'!$D$14))*$C$136*I$124</f>
        <v>  -   </v>
      </c>
      <c r="J136" s="116" t="str">
        <f>((I68*(1-'5.Closing Stock &amp; W Capital'!$D$14))+(H68*'5.Closing Stock &amp; W Capital'!$D$14))*$C$136*J$124</f>
        <v>  -   </v>
      </c>
      <c r="K136" s="110"/>
      <c r="U136" s="110"/>
      <c r="V136" s="110"/>
      <c r="W136" s="110"/>
    </row>
    <row r="137" ht="15.75" customHeight="1">
      <c r="A137" s="85" t="str">
        <f t="shared" si="55"/>
        <v>Jawar</v>
      </c>
      <c r="B137" s="85"/>
      <c r="C137" s="115">
        <v>30.0</v>
      </c>
      <c r="D137" s="116" t="str">
        <f>(C69*(1-'5.Closing Stock &amp; W Capital'!$D$14))*$C$137*D$124</f>
        <v>  -   </v>
      </c>
      <c r="E137" s="116" t="str">
        <f>((D69*(1-'5.Closing Stock &amp; W Capital'!$D$14))+(C69*'5.Closing Stock &amp; W Capital'!$D$14))*$C$137*E$124</f>
        <v>  -   </v>
      </c>
      <c r="F137" s="116" t="str">
        <f>((E69*(1-'5.Closing Stock &amp; W Capital'!$D$14))+(D69*'5.Closing Stock &amp; W Capital'!$D$14))*$C$137*F$124</f>
        <v>  -   </v>
      </c>
      <c r="G137" s="116" t="str">
        <f>((F69*(1-'5.Closing Stock &amp; W Capital'!$D$14))+(E69*'5.Closing Stock &amp; W Capital'!$D$14))*$C$137*G$124</f>
        <v>  -   </v>
      </c>
      <c r="H137" s="116" t="str">
        <f>((G69*(1-'5.Closing Stock &amp; W Capital'!$D$14))+(F69*'5.Closing Stock &amp; W Capital'!$D$14))*$C$137*H$124</f>
        <v>  -   </v>
      </c>
      <c r="I137" s="116" t="str">
        <f>((H69*(1-'5.Closing Stock &amp; W Capital'!$D$14))+(G69*'5.Closing Stock &amp; W Capital'!$D$14))*$C$137*I$124</f>
        <v>  -   </v>
      </c>
      <c r="J137" s="116" t="str">
        <f>((I69*(1-'5.Closing Stock &amp; W Capital'!$D$14))+(H69*'5.Closing Stock &amp; W Capital'!$D$14))*$C$137*J$124</f>
        <v>  -   </v>
      </c>
      <c r="K137" s="110"/>
      <c r="U137" s="110"/>
      <c r="V137" s="110"/>
      <c r="W137" s="110"/>
    </row>
    <row r="138" ht="15.75" customHeight="1">
      <c r="A138" s="117" t="str">
        <f t="shared" si="55"/>
        <v>Rabi Crop</v>
      </c>
      <c r="B138" s="85"/>
      <c r="C138" s="115"/>
      <c r="D138" s="116"/>
      <c r="E138" s="116"/>
      <c r="F138" s="116"/>
      <c r="G138" s="116"/>
      <c r="H138" s="116"/>
      <c r="I138" s="116"/>
      <c r="J138" s="116"/>
      <c r="K138" s="110"/>
      <c r="U138" s="110"/>
      <c r="V138" s="110"/>
      <c r="W138" s="110"/>
    </row>
    <row r="139" ht="15.75" customHeight="1">
      <c r="A139" s="85" t="str">
        <f t="shared" si="55"/>
        <v>Wheat</v>
      </c>
      <c r="B139" s="85"/>
      <c r="C139" s="115">
        <v>40.0</v>
      </c>
      <c r="D139" s="116" t="str">
        <f>(C71*(1-'5.Closing Stock &amp; W Capital'!$D$14))*$C$139*D$124</f>
        <v>  -   </v>
      </c>
      <c r="E139" s="116" t="str">
        <f>((D71*(1-'5.Closing Stock &amp; W Capital'!$D$14))+(C71*'5.Closing Stock &amp; W Capital'!$D$14))*$C$139*E$124</f>
        <v>  -   </v>
      </c>
      <c r="F139" s="116" t="str">
        <f>((E71*(1-'5.Closing Stock &amp; W Capital'!$D$14))+(D71*'5.Closing Stock &amp; W Capital'!$D$14))*$C$139*F$124</f>
        <v>  -   </v>
      </c>
      <c r="G139" s="116" t="str">
        <f>((F71*(1-'5.Closing Stock &amp; W Capital'!$D$14))+(E71*'5.Closing Stock &amp; W Capital'!$D$14))*$C$139*G$124</f>
        <v>  -   </v>
      </c>
      <c r="H139" s="116" t="str">
        <f>((G71*(1-'5.Closing Stock &amp; W Capital'!$D$14))+(F71*'5.Closing Stock &amp; W Capital'!$D$14))*$C$139*H$124</f>
        <v>  -   </v>
      </c>
      <c r="I139" s="116" t="str">
        <f>((H71*(1-'5.Closing Stock &amp; W Capital'!$D$14))+(G71*'5.Closing Stock &amp; W Capital'!$D$14))*$C$139*I$124</f>
        <v>  -   </v>
      </c>
      <c r="J139" s="116" t="str">
        <f>((I71*(1-'5.Closing Stock &amp; W Capital'!$D$14))+(H71*'5.Closing Stock &amp; W Capital'!$D$14))*$C$139*J$124</f>
        <v>  -   </v>
      </c>
      <c r="K139" s="110"/>
      <c r="U139" s="110"/>
      <c r="V139" s="110"/>
      <c r="W139" s="110"/>
    </row>
    <row r="140" ht="15.75" customHeight="1">
      <c r="A140" s="85" t="str">
        <f t="shared" si="55"/>
        <v>Channa</v>
      </c>
      <c r="B140" s="85"/>
      <c r="C140" s="115">
        <v>75.0</v>
      </c>
      <c r="D140" s="116" t="str">
        <f>(C72*(1-'5.Closing Stock &amp; W Capital'!$D$14))*$C$140*D$124</f>
        <v>  -   </v>
      </c>
      <c r="E140" s="116" t="str">
        <f>((D72*(1-'5.Closing Stock &amp; W Capital'!$D$14))+(C72*'5.Closing Stock &amp; W Capital'!$D$14))*$C$140*E$124</f>
        <v>  -   </v>
      </c>
      <c r="F140" s="116" t="str">
        <f>((E72*(1-'5.Closing Stock &amp; W Capital'!$D$14))+(D72*'5.Closing Stock &amp; W Capital'!$D$14))*$C$140*F$124</f>
        <v>  -   </v>
      </c>
      <c r="G140" s="116" t="str">
        <f>((F72*(1-'5.Closing Stock &amp; W Capital'!$D$14))+(E72*'5.Closing Stock &amp; W Capital'!$D$14))*$C$140*G$124</f>
        <v>  -   </v>
      </c>
      <c r="H140" s="116" t="str">
        <f>((G72*(1-'5.Closing Stock &amp; W Capital'!$D$14))+(F72*'5.Closing Stock &amp; W Capital'!$D$14))*$C$140*H$124</f>
        <v>  -   </v>
      </c>
      <c r="I140" s="116" t="str">
        <f>((H72*(1-'5.Closing Stock &amp; W Capital'!$D$14))+(G72*'5.Closing Stock &amp; W Capital'!$D$14))*$C$140*I$124</f>
        <v>  -   </v>
      </c>
      <c r="J140" s="116" t="str">
        <f>((I72*(1-'5.Closing Stock &amp; W Capital'!$D$14))+(H72*'5.Closing Stock &amp; W Capital'!$D$14))*$C$140*J$124</f>
        <v>  -   </v>
      </c>
      <c r="K140" s="110"/>
      <c r="U140" s="110"/>
      <c r="V140" s="110"/>
      <c r="W140" s="110"/>
    </row>
    <row r="141" ht="15.75" customHeight="1">
      <c r="A141" s="85" t="str">
        <f t="shared" si="55"/>
        <v>Jawar</v>
      </c>
      <c r="B141" s="85"/>
      <c r="C141" s="115">
        <v>27.0</v>
      </c>
      <c r="D141" s="116" t="str">
        <f>(C73*(1-'5.Closing Stock &amp; W Capital'!$D$14))*$C$141*D$124</f>
        <v>  -   </v>
      </c>
      <c r="E141" s="116" t="str">
        <f>((D73*(1-'5.Closing Stock &amp; W Capital'!$D$14))+(C73*'5.Closing Stock &amp; W Capital'!$D$14))*$C$141*E$124</f>
        <v>  -   </v>
      </c>
      <c r="F141" s="116" t="str">
        <f>((E73*(1-'5.Closing Stock &amp; W Capital'!$D$14))+(D73*'5.Closing Stock &amp; W Capital'!$D$14))*$C$141*F$124</f>
        <v>  -   </v>
      </c>
      <c r="G141" s="116" t="str">
        <f>((F73*(1-'5.Closing Stock &amp; W Capital'!$D$14))+(E73*'5.Closing Stock &amp; W Capital'!$D$14))*$C$141*G$124</f>
        <v>  -   </v>
      </c>
      <c r="H141" s="116" t="str">
        <f>((G73*(1-'5.Closing Stock &amp; W Capital'!$D$14))+(F73*'5.Closing Stock &amp; W Capital'!$D$14))*$C$141*H$124</f>
        <v>  -   </v>
      </c>
      <c r="I141" s="116" t="str">
        <f>((H73*(1-'5.Closing Stock &amp; W Capital'!$D$14))+(G73*'5.Closing Stock &amp; W Capital'!$D$14))*$C$141*I$124</f>
        <v>  -   </v>
      </c>
      <c r="J141" s="116" t="str">
        <f>((I73*(1-'5.Closing Stock &amp; W Capital'!$D$14))+(H73*'5.Closing Stock &amp; W Capital'!$D$14))*$C$141*J$124</f>
        <v>  -   </v>
      </c>
      <c r="K141" s="110"/>
      <c r="U141" s="110"/>
      <c r="V141" s="110"/>
      <c r="W141" s="110"/>
    </row>
    <row r="142" ht="15.75" customHeight="1">
      <c r="A142" s="85" t="str">
        <f t="shared" si="55"/>
        <v>Maize</v>
      </c>
      <c r="B142" s="85"/>
      <c r="C142" s="115">
        <v>0.0</v>
      </c>
      <c r="D142" s="116" t="str">
        <f>(C74*(1-'5.Closing Stock &amp; W Capital'!$D$14))*$C$142*D$124</f>
        <v>  -   </v>
      </c>
      <c r="E142" s="116" t="str">
        <f>((D74*(1-'5.Closing Stock &amp; W Capital'!$D$14))+(C74*'5.Closing Stock &amp; W Capital'!$D$14))*$C$142*E$124</f>
        <v>  -   </v>
      </c>
      <c r="F142" s="116" t="str">
        <f>((E74*(1-'5.Closing Stock &amp; W Capital'!$D$14))+(D74*'5.Closing Stock &amp; W Capital'!$D$14))*$C$142*F$124</f>
        <v>  -   </v>
      </c>
      <c r="G142" s="116" t="str">
        <f>((F74*(1-'5.Closing Stock &amp; W Capital'!$D$14))+(E74*'5.Closing Stock &amp; W Capital'!$D$14))*$C$142*G$124</f>
        <v>  -   </v>
      </c>
      <c r="H142" s="116" t="str">
        <f>((G74*(1-'5.Closing Stock &amp; W Capital'!$D$14))+(F74*'5.Closing Stock &amp; W Capital'!$D$14))*$C$142*H$124</f>
        <v>  -   </v>
      </c>
      <c r="I142" s="116" t="str">
        <f>((H74*(1-'5.Closing Stock &amp; W Capital'!$D$14))+(G74*'5.Closing Stock &amp; W Capital'!$D$14))*$C$142*I$124</f>
        <v>  -   </v>
      </c>
      <c r="J142" s="116" t="str">
        <f>((I74*(1-'5.Closing Stock &amp; W Capital'!$D$14))+(H74*'5.Closing Stock &amp; W Capital'!$D$14))*$C$142*J$124</f>
        <v>  -   </v>
      </c>
      <c r="K142" s="110"/>
      <c r="U142" s="110"/>
      <c r="V142" s="110"/>
      <c r="W142" s="110"/>
    </row>
    <row r="143" ht="15.75" customHeight="1">
      <c r="A143" s="85" t="str">
        <f t="shared" si="55"/>
        <v>Safflower</v>
      </c>
      <c r="B143" s="85"/>
      <c r="C143" s="115"/>
      <c r="D143" s="116" t="str">
        <f>(C75*(1-'5.Closing Stock &amp; W Capital'!$D$14))*$C$143*D$124</f>
        <v>  -   </v>
      </c>
      <c r="E143" s="116" t="str">
        <f>((D75*(1-'5.Closing Stock &amp; W Capital'!$D$14))+(C75*'5.Closing Stock &amp; W Capital'!$D$14))*$C$143*E$124</f>
        <v>  -   </v>
      </c>
      <c r="F143" s="116" t="str">
        <f>((E75*(1-'5.Closing Stock &amp; W Capital'!$D$14))+(D75*'5.Closing Stock &amp; W Capital'!$D$14))*$C$143*F$124</f>
        <v>  -   </v>
      </c>
      <c r="G143" s="116" t="str">
        <f>((F75*(1-'5.Closing Stock &amp; W Capital'!$D$14))+(E75*'5.Closing Stock &amp; W Capital'!$D$14))*$C$143*G$124</f>
        <v>  -   </v>
      </c>
      <c r="H143" s="116" t="str">
        <f>((G75*(1-'5.Closing Stock &amp; W Capital'!$D$14))+(F75*'5.Closing Stock &amp; W Capital'!$D$14))*$C$143*H$124</f>
        <v>  -   </v>
      </c>
      <c r="I143" s="116" t="str">
        <f>((H75*(1-'5.Closing Stock &amp; W Capital'!$D$14))+(G75*'5.Closing Stock &amp; W Capital'!$D$14))*$C$143*I$124</f>
        <v>  -   </v>
      </c>
      <c r="J143" s="116" t="str">
        <f>((I75*(1-'5.Closing Stock &amp; W Capital'!$D$14))+(H75*'5.Closing Stock &amp; W Capital'!$D$14))*$C$143*J$124</f>
        <v>  -   </v>
      </c>
      <c r="K143" s="110"/>
      <c r="U143" s="110"/>
      <c r="V143" s="110"/>
      <c r="W143" s="110"/>
    </row>
    <row r="144" ht="15.75" customHeight="1">
      <c r="A144" s="85" t="str">
        <f t="shared" si="55"/>
        <v>Groundnut</v>
      </c>
      <c r="B144" s="85"/>
      <c r="C144" s="115"/>
      <c r="D144" s="116" t="str">
        <f>(C76*(1-'5.Closing Stock &amp; W Capital'!$D$14))*$C$144*D$124</f>
        <v>  -   </v>
      </c>
      <c r="E144" s="116" t="str">
        <f>((D76*(1-'5.Closing Stock &amp; W Capital'!$D$14))+(C76*'5.Closing Stock &amp; W Capital'!$D$14))*$C$144*E$124</f>
        <v>  -   </v>
      </c>
      <c r="F144" s="116" t="str">
        <f>((E76*(1-'5.Closing Stock &amp; W Capital'!$D$14))+(D76*'5.Closing Stock &amp; W Capital'!$D$14))*$C$144*F$124</f>
        <v>  -   </v>
      </c>
      <c r="G144" s="116" t="str">
        <f>((F76*(1-'5.Closing Stock &amp; W Capital'!$D$14))+(E76*'5.Closing Stock &amp; W Capital'!$D$14))*$C$144*G$124</f>
        <v>  -   </v>
      </c>
      <c r="H144" s="116" t="str">
        <f>((G76*(1-'5.Closing Stock &amp; W Capital'!$D$14))+(F76*'5.Closing Stock &amp; W Capital'!$D$14))*$C$144*H$124</f>
        <v>  -   </v>
      </c>
      <c r="I144" s="116" t="str">
        <f>((H76*(1-'5.Closing Stock &amp; W Capital'!$D$14))+(G76*'5.Closing Stock &amp; W Capital'!$D$14))*$C$144*I$124</f>
        <v>  -   </v>
      </c>
      <c r="J144" s="116" t="str">
        <f>((I76*(1-'5.Closing Stock &amp; W Capital'!$D$14))+(H76*'5.Closing Stock &amp; W Capital'!$D$14))*$C$144*J$124</f>
        <v>  -   </v>
      </c>
      <c r="K144" s="110"/>
      <c r="U144" s="110"/>
      <c r="V144" s="110"/>
      <c r="W144" s="110"/>
    </row>
    <row r="145" ht="15.75" customHeight="1">
      <c r="A145" s="85" t="str">
        <f t="shared" si="55"/>
        <v/>
      </c>
      <c r="B145" s="85"/>
      <c r="C145" s="115"/>
      <c r="D145" s="116" t="str">
        <f>(C77*(1-'5.Closing Stock &amp; W Capital'!$D$14))*$C$145*D$124</f>
        <v>  -   </v>
      </c>
      <c r="E145" s="116" t="str">
        <f>((D77*(1-'5.Closing Stock &amp; W Capital'!$D$14))+(C77*'5.Closing Stock &amp; W Capital'!$D$14))*$C$145*E$124</f>
        <v>  -   </v>
      </c>
      <c r="F145" s="116" t="str">
        <f>((E77*(1-'5.Closing Stock &amp; W Capital'!$D$14))+(D77*'5.Closing Stock &amp; W Capital'!$D$14))*$C$145*F$124</f>
        <v>  -   </v>
      </c>
      <c r="G145" s="116" t="str">
        <f>((F77*(1-'5.Closing Stock &amp; W Capital'!$D$14))+(E77*'5.Closing Stock &amp; W Capital'!$D$14))*$C$145*G$124</f>
        <v>  -   </v>
      </c>
      <c r="H145" s="116" t="str">
        <f>((G77*(1-'5.Closing Stock &amp; W Capital'!$D$14))+(F77*'5.Closing Stock &amp; W Capital'!$D$14))*$C$145*H$124</f>
        <v>  -   </v>
      </c>
      <c r="I145" s="116" t="str">
        <f>((H77*(1-'5.Closing Stock &amp; W Capital'!$D$14))+(G77*'5.Closing Stock &amp; W Capital'!$D$14))*$C$145*I$124</f>
        <v>  -   </v>
      </c>
      <c r="J145" s="116" t="str">
        <f>((I77*(1-'5.Closing Stock &amp; W Capital'!$D$14))+(H77*'5.Closing Stock &amp; W Capital'!$D$14))*$C$145*J$124</f>
        <v>  -   </v>
      </c>
      <c r="K145" s="110"/>
      <c r="U145" s="110"/>
      <c r="V145" s="110"/>
      <c r="W145" s="110"/>
    </row>
    <row r="146" ht="15.75" customHeight="1">
      <c r="A146" s="85" t="str">
        <f t="shared" si="55"/>
        <v/>
      </c>
      <c r="B146" s="85"/>
      <c r="C146" s="115"/>
      <c r="D146" s="116" t="str">
        <f>(C78*(1-'5.Closing Stock &amp; W Capital'!$D$14))*$C$146*D$124</f>
        <v>  -   </v>
      </c>
      <c r="E146" s="116" t="str">
        <f>((D78*(1-'5.Closing Stock &amp; W Capital'!$D$14))+(C78*'5.Closing Stock &amp; W Capital'!$D$14))*$C$146*E$124</f>
        <v>  -   </v>
      </c>
      <c r="F146" s="116" t="str">
        <f>((E78*(1-'5.Closing Stock &amp; W Capital'!$D$14))+(D78*'5.Closing Stock &amp; W Capital'!$D$14))*$C$146*F$124</f>
        <v>  -   </v>
      </c>
      <c r="G146" s="116" t="str">
        <f>((F78*(1-'5.Closing Stock &amp; W Capital'!$D$14))+(E78*'5.Closing Stock &amp; W Capital'!$D$14))*$C$146*G$124</f>
        <v>  -   </v>
      </c>
      <c r="H146" s="116" t="str">
        <f>((G78*(1-'5.Closing Stock &amp; W Capital'!$D$14))+(F78*'5.Closing Stock &amp; W Capital'!$D$14))*$C$146*H$124</f>
        <v>  -   </v>
      </c>
      <c r="I146" s="116" t="str">
        <f>((H78*(1-'5.Closing Stock &amp; W Capital'!$D$14))+(G78*'5.Closing Stock &amp; W Capital'!$D$14))*$C$146*I$124</f>
        <v>  -   </v>
      </c>
      <c r="J146" s="116" t="str">
        <f>((I78*(1-'5.Closing Stock &amp; W Capital'!$D$14))+(H78*'5.Closing Stock &amp; W Capital'!$D$14))*$C$146*J$124</f>
        <v>  -   </v>
      </c>
      <c r="K146" s="110"/>
      <c r="U146" s="110"/>
      <c r="V146" s="110"/>
      <c r="W146" s="110"/>
    </row>
    <row r="147" ht="15.75" customHeight="1">
      <c r="A147" s="117" t="str">
        <f t="shared" si="55"/>
        <v>Summer</v>
      </c>
      <c r="B147" s="85"/>
      <c r="C147" s="115"/>
      <c r="D147" s="116"/>
      <c r="E147" s="116"/>
      <c r="F147" s="116"/>
      <c r="G147" s="116"/>
      <c r="H147" s="116"/>
      <c r="I147" s="116"/>
      <c r="J147" s="116"/>
      <c r="K147" s="110"/>
      <c r="U147" s="110"/>
      <c r="V147" s="110"/>
      <c r="W147" s="110"/>
    </row>
    <row r="148" ht="15.75" customHeight="1">
      <c r="A148" s="85" t="str">
        <f t="shared" si="55"/>
        <v>Soybean</v>
      </c>
      <c r="B148" s="85"/>
      <c r="C148" s="115"/>
      <c r="D148" s="116" t="str">
        <f>(C80*(1-'5.Closing Stock &amp; W Capital'!$D$14))*$C$148*D$124</f>
        <v>  -   </v>
      </c>
      <c r="E148" s="116" t="str">
        <f>((D80*(1-'5.Closing Stock &amp; W Capital'!$D$14))+(C80*'5.Closing Stock &amp; W Capital'!$D$14))*$C$148*E$124</f>
        <v>  -   </v>
      </c>
      <c r="F148" s="116" t="str">
        <f>((E80*(1-'5.Closing Stock &amp; W Capital'!$D$14))+(D80*'5.Closing Stock &amp; W Capital'!$D$14))*$C$148*F$124</f>
        <v>  -   </v>
      </c>
      <c r="G148" s="116" t="str">
        <f>((F80*(1-'5.Closing Stock &amp; W Capital'!$D$14))+(E80*'5.Closing Stock &amp; W Capital'!$D$14))*$C$148*G$124</f>
        <v>  -   </v>
      </c>
      <c r="H148" s="116" t="str">
        <f>((G80*(1-'5.Closing Stock &amp; W Capital'!$D$14))+(F80*'5.Closing Stock &amp; W Capital'!$D$14))*$C$148*H$124</f>
        <v>  -   </v>
      </c>
      <c r="I148" s="116" t="str">
        <f>((H80*(1-'5.Closing Stock &amp; W Capital'!$D$14))+(G80*'5.Closing Stock &amp; W Capital'!$D$14))*$C$148*I$124</f>
        <v>  -   </v>
      </c>
      <c r="J148" s="116" t="str">
        <f>((I80*(1-'5.Closing Stock &amp; W Capital'!$D$14))+(H80*'5.Closing Stock &amp; W Capital'!$D$14))*$C$148*J$124</f>
        <v>  -   </v>
      </c>
      <c r="K148" s="110"/>
      <c r="U148" s="110"/>
      <c r="V148" s="110"/>
      <c r="W148" s="110"/>
    </row>
    <row r="149" ht="15.75" customHeight="1">
      <c r="A149" s="85" t="str">
        <f t="shared" si="55"/>
        <v/>
      </c>
      <c r="B149" s="85"/>
      <c r="C149" s="115"/>
      <c r="D149" s="116" t="str">
        <f>(C81*(1-'5.Closing Stock &amp; W Capital'!$D$14))*$C$149*D$124</f>
        <v>  -   </v>
      </c>
      <c r="E149" s="116" t="str">
        <f>((D81*(1-'5.Closing Stock &amp; W Capital'!$D$14))+(C81*'5.Closing Stock &amp; W Capital'!$D$14))*$C$149*E$124</f>
        <v>  -   </v>
      </c>
      <c r="F149" s="116" t="str">
        <f>((E81*(1-'5.Closing Stock &amp; W Capital'!$D$14))+(D81*'5.Closing Stock &amp; W Capital'!$D$14))*$C$149*F$124</f>
        <v>  -   </v>
      </c>
      <c r="G149" s="116" t="str">
        <f>((F81*(1-'5.Closing Stock &amp; W Capital'!$D$14))+(E81*'5.Closing Stock &amp; W Capital'!$D$14))*$C$149*G$124</f>
        <v>  -   </v>
      </c>
      <c r="H149" s="116" t="str">
        <f>((G81*(1-'5.Closing Stock &amp; W Capital'!$D$14))+(F81*'5.Closing Stock &amp; W Capital'!$D$14))*$C$149*H$124</f>
        <v>  -   </v>
      </c>
      <c r="I149" s="116" t="str">
        <f>((H81*(1-'5.Closing Stock &amp; W Capital'!$D$14))+(G81*'5.Closing Stock &amp; W Capital'!$D$14))*$C$149*I$124</f>
        <v>  -   </v>
      </c>
      <c r="J149" s="116" t="str">
        <f>((I81*(1-'5.Closing Stock &amp; W Capital'!$D$14))+(H81*'5.Closing Stock &amp; W Capital'!$D$14))*$C$149*J$124</f>
        <v>  -   </v>
      </c>
      <c r="K149" s="110"/>
      <c r="U149" s="110"/>
      <c r="V149" s="110"/>
      <c r="W149" s="110"/>
    </row>
    <row r="150" ht="15.75" customHeight="1">
      <c r="A150" s="85" t="str">
        <f t="shared" si="55"/>
        <v/>
      </c>
      <c r="B150" s="85"/>
      <c r="C150" s="115"/>
      <c r="D150" s="116" t="str">
        <f>(C82*(1-'5.Closing Stock &amp; W Capital'!$D$14))*$C$150*D$124</f>
        <v>  -   </v>
      </c>
      <c r="E150" s="116" t="str">
        <f>((D82*(1-'5.Closing Stock &amp; W Capital'!$D$14))+(C82*'5.Closing Stock &amp; W Capital'!$D$14))*$C$150*E$124</f>
        <v>  -   </v>
      </c>
      <c r="F150" s="116" t="str">
        <f>((E82*(1-'5.Closing Stock &amp; W Capital'!$D$14))+(D82*'5.Closing Stock &amp; W Capital'!$D$14))*$C$150*F$124</f>
        <v>  -   </v>
      </c>
      <c r="G150" s="116" t="str">
        <f>((F82*(1-'5.Closing Stock &amp; W Capital'!$D$14))+(E82*'5.Closing Stock &amp; W Capital'!$D$14))*$C$150*G$124</f>
        <v>  -   </v>
      </c>
      <c r="H150" s="116" t="str">
        <f>((G82*(1-'5.Closing Stock &amp; W Capital'!$D$14))+(F82*'5.Closing Stock &amp; W Capital'!$D$14))*$C$150*H$124</f>
        <v>  -   </v>
      </c>
      <c r="I150" s="116" t="str">
        <f>((H82*(1-'5.Closing Stock &amp; W Capital'!$D$14))+(G82*'5.Closing Stock &amp; W Capital'!$D$14))*$C$150*I$124</f>
        <v>  -   </v>
      </c>
      <c r="J150" s="116" t="str">
        <f>((I82*(1-'5.Closing Stock &amp; W Capital'!$D$14))+(H82*'5.Closing Stock &amp; W Capital'!$D$14))*$C$150*J$124</f>
        <v>  -   </v>
      </c>
      <c r="K150" s="110"/>
      <c r="U150" s="110"/>
      <c r="V150" s="110"/>
      <c r="W150" s="110"/>
    </row>
    <row r="151" ht="15.75" customHeight="1">
      <c r="A151" s="85" t="str">
        <f t="shared" si="55"/>
        <v/>
      </c>
      <c r="B151" s="85"/>
      <c r="C151" s="115"/>
      <c r="D151" s="116" t="str">
        <f>(C83*(1-'5.Closing Stock &amp; W Capital'!$D$14))*$C$151*D$124</f>
        <v>  -   </v>
      </c>
      <c r="E151" s="116" t="str">
        <f>((D83*(1-'5.Closing Stock &amp; W Capital'!$D$14))+(C83*'5.Closing Stock &amp; W Capital'!$D$14))*$C$151*E$124</f>
        <v>  -   </v>
      </c>
      <c r="F151" s="116" t="str">
        <f>((E83*(1-'5.Closing Stock &amp; W Capital'!$D$14))+(D83*'5.Closing Stock &amp; W Capital'!$D$14))*$C$151*F$124</f>
        <v>  -   </v>
      </c>
      <c r="G151" s="116" t="str">
        <f>((F83*(1-'5.Closing Stock &amp; W Capital'!$D$14))+(E83*'5.Closing Stock &amp; W Capital'!$D$14))*$C$151*G$124</f>
        <v>  -   </v>
      </c>
      <c r="H151" s="116" t="str">
        <f>((G83*(1-'5.Closing Stock &amp; W Capital'!$D$14))+(F83*'5.Closing Stock &amp; W Capital'!$D$14))*$C$151*H$124</f>
        <v>  -   </v>
      </c>
      <c r="I151" s="116" t="str">
        <f>((H83*(1-'5.Closing Stock &amp; W Capital'!$D$14))+(G83*'5.Closing Stock &amp; W Capital'!$D$14))*$C$151*I$124</f>
        <v>  -   </v>
      </c>
      <c r="J151" s="116" t="str">
        <f>((I83*(1-'5.Closing Stock &amp; W Capital'!$D$14))+(H83*'5.Closing Stock &amp; W Capital'!$D$14))*$C$151*J$124</f>
        <v>  -   </v>
      </c>
      <c r="K151" s="110"/>
      <c r="U151" s="110"/>
      <c r="V151" s="110"/>
      <c r="W151" s="110"/>
    </row>
    <row r="152" ht="15.75" customHeight="1">
      <c r="A152" s="85" t="str">
        <f t="shared" si="55"/>
        <v/>
      </c>
      <c r="B152" s="85"/>
      <c r="C152" s="115"/>
      <c r="D152" s="116" t="str">
        <f>(C84*(1-'5.Closing Stock &amp; W Capital'!$D$14))*$C$152*D$124</f>
        <v>  -   </v>
      </c>
      <c r="E152" s="116" t="str">
        <f>((D84*(1-'5.Closing Stock &amp; W Capital'!$D$14))+(C84*'5.Closing Stock &amp; W Capital'!$D$14))*$C$152*E$124</f>
        <v>  -   </v>
      </c>
      <c r="F152" s="116" t="str">
        <f>((E84*(1-'5.Closing Stock &amp; W Capital'!$D$14))+(D84*'5.Closing Stock &amp; W Capital'!$D$14))*$C$152*F$124</f>
        <v>  -   </v>
      </c>
      <c r="G152" s="116" t="str">
        <f>((F84*(1-'5.Closing Stock &amp; W Capital'!$D$14))+(E84*'5.Closing Stock &amp; W Capital'!$D$14))*$C$152*G$124</f>
        <v>  -   </v>
      </c>
      <c r="H152" s="116" t="str">
        <f>((G84*(1-'5.Closing Stock &amp; W Capital'!$D$14))+(F84*'5.Closing Stock &amp; W Capital'!$D$14))*$C$152*H$124</f>
        <v>  -   </v>
      </c>
      <c r="I152" s="116" t="str">
        <f>((H84*(1-'5.Closing Stock &amp; W Capital'!$D$14))+(G84*'5.Closing Stock &amp; W Capital'!$D$14))*$C$152*I$124</f>
        <v>  -   </v>
      </c>
      <c r="J152" s="116" t="str">
        <f>((I84*(1-'5.Closing Stock &amp; W Capital'!$D$14))+(H84*'5.Closing Stock &amp; W Capital'!$D$14))*$C$152*J$124</f>
        <v>  -   </v>
      </c>
      <c r="K152" s="110"/>
      <c r="U152" s="110"/>
      <c r="V152" s="110"/>
      <c r="W152" s="110"/>
    </row>
    <row r="153" ht="15.75" customHeight="1">
      <c r="A153" s="85" t="str">
        <f t="shared" si="55"/>
        <v>Fruit  &amp; Vegetables Crop Production Details</v>
      </c>
      <c r="B153" s="85"/>
      <c r="C153" s="115"/>
      <c r="D153" s="116"/>
      <c r="E153" s="116"/>
      <c r="F153" s="116"/>
      <c r="G153" s="116"/>
      <c r="H153" s="116"/>
      <c r="I153" s="116"/>
      <c r="J153" s="116"/>
      <c r="K153" s="110"/>
      <c r="U153" s="110"/>
      <c r="V153" s="110"/>
      <c r="W153" s="110"/>
    </row>
    <row r="154" ht="15.75" customHeight="1">
      <c r="A154" s="85" t="str">
        <f t="shared" si="55"/>
        <v>Onion</v>
      </c>
      <c r="B154" s="85"/>
      <c r="C154" s="115"/>
      <c r="D154" s="116" t="str">
        <f>(C86*(1-'5.Closing Stock &amp; W Capital'!$D$14))*$C154*D$124</f>
        <v>  -   </v>
      </c>
      <c r="E154" s="116" t="str">
        <f>((D86*(1-'5.Closing Stock &amp; W Capital'!$D$14))+(C86*'5.Closing Stock &amp; W Capital'!$D$14))*$C154*E$124</f>
        <v>  -   </v>
      </c>
      <c r="F154" s="116" t="str">
        <f>((E86*(1-'5.Closing Stock &amp; W Capital'!$D$14))+(D86*'5.Closing Stock &amp; W Capital'!$D$14))*$C$152*F$124</f>
        <v>  -   </v>
      </c>
      <c r="G154" s="116" t="str">
        <f>((F86*(1-'5.Closing Stock &amp; W Capital'!$D$14))+(E86*'5.Closing Stock &amp; W Capital'!$D$14))*$C$152*G$124</f>
        <v>  -   </v>
      </c>
      <c r="H154" s="116" t="str">
        <f>((G86*(1-'5.Closing Stock &amp; W Capital'!$D$14))+(F86*'5.Closing Stock &amp; W Capital'!$D$14))*$C$152*H$124</f>
        <v>  -   </v>
      </c>
      <c r="I154" s="116" t="str">
        <f>((H86*(1-'5.Closing Stock &amp; W Capital'!$D$14))+(G86*'5.Closing Stock &amp; W Capital'!$D$14))*$C$152*I$124</f>
        <v>  -   </v>
      </c>
      <c r="J154" s="116" t="str">
        <f>((I86*(1-'5.Closing Stock &amp; W Capital'!$D$14))+(H86*'5.Closing Stock &amp; W Capital'!$D$14))*$C$152*J$124</f>
        <v>  -   </v>
      </c>
      <c r="K154" s="110"/>
      <c r="U154" s="110"/>
      <c r="V154" s="110"/>
      <c r="W154" s="110"/>
    </row>
    <row r="155" ht="15.75" customHeight="1">
      <c r="A155" s="85" t="str">
        <f t="shared" si="55"/>
        <v>Tomato</v>
      </c>
      <c r="B155" s="85"/>
      <c r="C155" s="115"/>
      <c r="D155" s="116" t="str">
        <f>(C87*(1-'5.Closing Stock &amp; W Capital'!$D$14))*$C155*D$124</f>
        <v>  -   </v>
      </c>
      <c r="E155" s="116" t="str">
        <f>((D87*(1-'5.Closing Stock &amp; W Capital'!$D$14))+(C87*'5.Closing Stock &amp; W Capital'!$D$14))*$C155*E$124</f>
        <v>  -   </v>
      </c>
      <c r="F155" s="116" t="str">
        <f>((E87*(1-'5.Closing Stock &amp; W Capital'!$D$14))+(D87*'5.Closing Stock &amp; W Capital'!$D$14))*$C$152*F$124</f>
        <v>  -   </v>
      </c>
      <c r="G155" s="116" t="str">
        <f>((F87*(1-'5.Closing Stock &amp; W Capital'!$D$14))+(E87*'5.Closing Stock &amp; W Capital'!$D$14))*$C$152*G$124</f>
        <v>  -   </v>
      </c>
      <c r="H155" s="116" t="str">
        <f>((G87*(1-'5.Closing Stock &amp; W Capital'!$D$14))+(F87*'5.Closing Stock &amp; W Capital'!$D$14))*$C$152*H$124</f>
        <v>  -   </v>
      </c>
      <c r="I155" s="116" t="str">
        <f>((H87*(1-'5.Closing Stock &amp; W Capital'!$D$14))+(G87*'5.Closing Stock &amp; W Capital'!$D$14))*$C$152*I$124</f>
        <v>  -   </v>
      </c>
      <c r="J155" s="116" t="str">
        <f>((I87*(1-'5.Closing Stock &amp; W Capital'!$D$14))+(H87*'5.Closing Stock &amp; W Capital'!$D$14))*$C$152*J$124</f>
        <v>  -   </v>
      </c>
      <c r="K155" s="110"/>
      <c r="U155" s="110"/>
      <c r="V155" s="110"/>
      <c r="W155" s="110"/>
    </row>
    <row r="156" ht="15.75" customHeight="1">
      <c r="A156" s="85" t="str">
        <f t="shared" si="55"/>
        <v>Okra</v>
      </c>
      <c r="B156" s="85"/>
      <c r="C156" s="115"/>
      <c r="D156" s="116" t="str">
        <f>(C88*(1-'5.Closing Stock &amp; W Capital'!$D$14))*$C156*D$124</f>
        <v>  -   </v>
      </c>
      <c r="E156" s="116" t="str">
        <f>((D88*(1-'5.Closing Stock &amp; W Capital'!$D$14))+(C88*'5.Closing Stock &amp; W Capital'!$D$14))*$C156*E$124</f>
        <v>  -   </v>
      </c>
      <c r="F156" s="116" t="str">
        <f>((E88*(1-'5.Closing Stock &amp; W Capital'!$D$14))+(D88*'5.Closing Stock &amp; W Capital'!$D$14))*$C$152*F$124</f>
        <v>  -   </v>
      </c>
      <c r="G156" s="116" t="str">
        <f>((F88*(1-'5.Closing Stock &amp; W Capital'!$D$14))+(E88*'5.Closing Stock &amp; W Capital'!$D$14))*$C$152*G$124</f>
        <v>  -   </v>
      </c>
      <c r="H156" s="116" t="str">
        <f>((G88*(1-'5.Closing Stock &amp; W Capital'!$D$14))+(F88*'5.Closing Stock &amp; W Capital'!$D$14))*$C$152*H$124</f>
        <v>  -   </v>
      </c>
      <c r="I156" s="116" t="str">
        <f>((H88*(1-'5.Closing Stock &amp; W Capital'!$D$14))+(G88*'5.Closing Stock &amp; W Capital'!$D$14))*$C$152*I$124</f>
        <v>  -   </v>
      </c>
      <c r="J156" s="116" t="str">
        <f>((I88*(1-'5.Closing Stock &amp; W Capital'!$D$14))+(H88*'5.Closing Stock &amp; W Capital'!$D$14))*$C$152*J$124</f>
        <v>  -   </v>
      </c>
      <c r="K156" s="110"/>
      <c r="U156" s="110"/>
      <c r="V156" s="110"/>
      <c r="W156" s="110"/>
    </row>
    <row r="157" ht="15.75" customHeight="1">
      <c r="A157" s="85" t="str">
        <f t="shared" si="55"/>
        <v>Chilli</v>
      </c>
      <c r="B157" s="85"/>
      <c r="C157" s="115"/>
      <c r="D157" s="116" t="str">
        <f>(C89*(1-'5.Closing Stock &amp; W Capital'!$D$14))*$C157*D$124</f>
        <v>  -   </v>
      </c>
      <c r="E157" s="116" t="str">
        <f>((D89*(1-'5.Closing Stock &amp; W Capital'!$D$14))+(C89*'5.Closing Stock &amp; W Capital'!$D$14))*$C157*E$124</f>
        <v>  -   </v>
      </c>
      <c r="F157" s="116" t="str">
        <f>((E89*(1-'5.Closing Stock &amp; W Capital'!$D$14))+(D89*'5.Closing Stock &amp; W Capital'!$D$14))*$C$152*F$124</f>
        <v>  -   </v>
      </c>
      <c r="G157" s="116" t="str">
        <f>((F89*(1-'5.Closing Stock &amp; W Capital'!$D$14))+(E89*'5.Closing Stock &amp; W Capital'!$D$14))*$C$152*G$124</f>
        <v>  -   </v>
      </c>
      <c r="H157" s="116" t="str">
        <f>((G89*(1-'5.Closing Stock &amp; W Capital'!$D$14))+(F89*'5.Closing Stock &amp; W Capital'!$D$14))*$C$152*H$124</f>
        <v>  -   </v>
      </c>
      <c r="I157" s="116" t="str">
        <f>((H89*(1-'5.Closing Stock &amp; W Capital'!$D$14))+(G89*'5.Closing Stock &amp; W Capital'!$D$14))*$C$152*I$124</f>
        <v>  -   </v>
      </c>
      <c r="J157" s="116" t="str">
        <f>((I89*(1-'5.Closing Stock &amp; W Capital'!$D$14))+(H89*'5.Closing Stock &amp; W Capital'!$D$14))*$C$152*J$124</f>
        <v>  -   </v>
      </c>
      <c r="K157" s="110"/>
      <c r="U157" s="110"/>
      <c r="V157" s="110"/>
      <c r="W157" s="110"/>
    </row>
    <row r="158" ht="15.75" customHeight="1">
      <c r="A158" s="85" t="str">
        <f t="shared" si="55"/>
        <v>Potato</v>
      </c>
      <c r="B158" s="85"/>
      <c r="C158" s="115"/>
      <c r="D158" s="116" t="str">
        <f>(C90*(1-'5.Closing Stock &amp; W Capital'!$D$14))*$C158*D$124</f>
        <v>  -   </v>
      </c>
      <c r="E158" s="116" t="str">
        <f>((D90*(1-'5.Closing Stock &amp; W Capital'!$D$14))+(C90*'5.Closing Stock &amp; W Capital'!$D$14))*$C158*E$124</f>
        <v>  -   </v>
      </c>
      <c r="F158" s="116" t="str">
        <f>((E90*(1-'5.Closing Stock &amp; W Capital'!$D$14))+(D90*'5.Closing Stock &amp; W Capital'!$D$14))*$C$152*F$124</f>
        <v>  -   </v>
      </c>
      <c r="G158" s="116" t="str">
        <f>((F90*(1-'5.Closing Stock &amp; W Capital'!$D$14))+(E90*'5.Closing Stock &amp; W Capital'!$D$14))*$C$152*G$124</f>
        <v>  -   </v>
      </c>
      <c r="H158" s="116" t="str">
        <f>((G90*(1-'5.Closing Stock &amp; W Capital'!$D$14))+(F90*'5.Closing Stock &amp; W Capital'!$D$14))*$C$152*H$124</f>
        <v>  -   </v>
      </c>
      <c r="I158" s="116" t="str">
        <f>((H90*(1-'5.Closing Stock &amp; W Capital'!$D$14))+(G90*'5.Closing Stock &amp; W Capital'!$D$14))*$C$152*I$124</f>
        <v>  -   </v>
      </c>
      <c r="J158" s="116" t="str">
        <f>((I90*(1-'5.Closing Stock &amp; W Capital'!$D$14))+(H90*'5.Closing Stock &amp; W Capital'!$D$14))*$C$152*J$124</f>
        <v>  -   </v>
      </c>
      <c r="K158" s="110"/>
      <c r="U158" s="110"/>
      <c r="V158" s="110"/>
      <c r="W158" s="110"/>
    </row>
    <row r="159" ht="15.75" customHeight="1">
      <c r="A159" s="85" t="str">
        <f t="shared" si="55"/>
        <v/>
      </c>
      <c r="B159" s="85"/>
      <c r="C159" s="115"/>
      <c r="D159" s="116" t="str">
        <f>(C91*(1-'5.Closing Stock &amp; W Capital'!$D$14))*$C159*D$124</f>
        <v>  -   </v>
      </c>
      <c r="E159" s="116" t="str">
        <f>((D91*(1-'5.Closing Stock &amp; W Capital'!$D$14))+(C91*'5.Closing Stock &amp; W Capital'!$D$14))*$C159*E$124</f>
        <v>  -   </v>
      </c>
      <c r="F159" s="116" t="str">
        <f>((E91*(1-'5.Closing Stock &amp; W Capital'!$D$14))+(D91*'5.Closing Stock &amp; W Capital'!$D$14))*$C$152*F$124</f>
        <v>  -   </v>
      </c>
      <c r="G159" s="116" t="str">
        <f>((F91*(1-'5.Closing Stock &amp; W Capital'!$D$14))+(E91*'5.Closing Stock &amp; W Capital'!$D$14))*$C$152*G$124</f>
        <v>  -   </v>
      </c>
      <c r="H159" s="116" t="str">
        <f>((G91*(1-'5.Closing Stock &amp; W Capital'!$D$14))+(F91*'5.Closing Stock &amp; W Capital'!$D$14))*$C$152*H$124</f>
        <v>  -   </v>
      </c>
      <c r="I159" s="116" t="str">
        <f>((H91*(1-'5.Closing Stock &amp; W Capital'!$D$14))+(G91*'5.Closing Stock &amp; W Capital'!$D$14))*$C$152*I$124</f>
        <v>  -   </v>
      </c>
      <c r="J159" s="116" t="str">
        <f>((I91*(1-'5.Closing Stock &amp; W Capital'!$D$14))+(H91*'5.Closing Stock &amp; W Capital'!$D$14))*$C$152*J$124</f>
        <v>  -   </v>
      </c>
      <c r="K159" s="110"/>
      <c r="U159" s="110"/>
      <c r="V159" s="110"/>
      <c r="W159" s="110"/>
    </row>
    <row r="160" ht="15.75" customHeight="1">
      <c r="A160" s="85" t="str">
        <f t="shared" si="55"/>
        <v/>
      </c>
      <c r="B160" s="85"/>
      <c r="C160" s="115"/>
      <c r="D160" s="116" t="str">
        <f>(C92*(1-'5.Closing Stock &amp; W Capital'!$D$14))*$C160*D$124</f>
        <v>  -   </v>
      </c>
      <c r="E160" s="116" t="str">
        <f>((D92*(1-'5.Closing Stock &amp; W Capital'!$D$14))+(C92*'5.Closing Stock &amp; W Capital'!$D$14))*$C160*E$124</f>
        <v>  -   </v>
      </c>
      <c r="F160" s="116" t="str">
        <f>((E92*(1-'5.Closing Stock &amp; W Capital'!$D$14))+(D92*'5.Closing Stock &amp; W Capital'!$D$14))*$C$152*F$124</f>
        <v>  -   </v>
      </c>
      <c r="G160" s="116" t="str">
        <f>((F92*(1-'5.Closing Stock &amp; W Capital'!$D$14))+(E92*'5.Closing Stock &amp; W Capital'!$D$14))*$C$152*G$124</f>
        <v>  -   </v>
      </c>
      <c r="H160" s="116" t="str">
        <f>((G92*(1-'5.Closing Stock &amp; W Capital'!$D$14))+(F92*'5.Closing Stock &amp; W Capital'!$D$14))*$C$152*H$124</f>
        <v>  -   </v>
      </c>
      <c r="I160" s="116" t="str">
        <f>((H92*(1-'5.Closing Stock &amp; W Capital'!$D$14))+(G92*'5.Closing Stock &amp; W Capital'!$D$14))*$C$152*I$124</f>
        <v>  -   </v>
      </c>
      <c r="J160" s="116" t="str">
        <f>((I92*(1-'5.Closing Stock &amp; W Capital'!$D$14))+(H92*'5.Closing Stock &amp; W Capital'!$D$14))*$C$152*J$124</f>
        <v>  -   </v>
      </c>
      <c r="K160" s="110"/>
      <c r="U160" s="110"/>
      <c r="V160" s="110"/>
      <c r="W160" s="110"/>
    </row>
    <row r="161" ht="15.75" customHeight="1">
      <c r="A161" s="85" t="str">
        <f t="shared" si="55"/>
        <v/>
      </c>
      <c r="B161" s="85"/>
      <c r="C161" s="115"/>
      <c r="D161" s="116" t="str">
        <f>(C93*(1-'5.Closing Stock &amp; W Capital'!$D$14))*$C161*D$124</f>
        <v>  -   </v>
      </c>
      <c r="E161" s="116" t="str">
        <f>((D93*(1-'5.Closing Stock &amp; W Capital'!$D$14))+(C93*'5.Closing Stock &amp; W Capital'!$D$14))*$C161*E$124</f>
        <v>  -   </v>
      </c>
      <c r="F161" s="116" t="str">
        <f>((E93*(1-'5.Closing Stock &amp; W Capital'!$D$14))+(D93*'5.Closing Stock &amp; W Capital'!$D$14))*$C$152*F$124</f>
        <v>  -   </v>
      </c>
      <c r="G161" s="116" t="str">
        <f>((F93*(1-'5.Closing Stock &amp; W Capital'!$D$14))+(E93*'5.Closing Stock &amp; W Capital'!$D$14))*$C$152*G$124</f>
        <v>  -   </v>
      </c>
      <c r="H161" s="116" t="str">
        <f>((G93*(1-'5.Closing Stock &amp; W Capital'!$D$14))+(F93*'5.Closing Stock &amp; W Capital'!$D$14))*$C$152*H$124</f>
        <v>  -   </v>
      </c>
      <c r="I161" s="116" t="str">
        <f>((H93*(1-'5.Closing Stock &amp; W Capital'!$D$14))+(G93*'5.Closing Stock &amp; W Capital'!$D$14))*$C$152*I$124</f>
        <v>  -   </v>
      </c>
      <c r="J161" s="116" t="str">
        <f>((I93*(1-'5.Closing Stock &amp; W Capital'!$D$14))+(H93*'5.Closing Stock &amp; W Capital'!$D$14))*$C$152*J$124</f>
        <v>  -   </v>
      </c>
      <c r="K161" s="110"/>
      <c r="U161" s="110"/>
      <c r="V161" s="110"/>
      <c r="W161" s="110"/>
    </row>
    <row r="162" ht="15.75" customHeight="1">
      <c r="A162" s="85" t="str">
        <f t="shared" si="55"/>
        <v/>
      </c>
      <c r="B162" s="85"/>
      <c r="C162" s="115"/>
      <c r="D162" s="116" t="str">
        <f>(C94*(1-'5.Closing Stock &amp; W Capital'!$D$14))*$C162*D$124</f>
        <v>  -   </v>
      </c>
      <c r="E162" s="116" t="str">
        <f>((D94*(1-'5.Closing Stock &amp; W Capital'!$D$14))+(C94*'5.Closing Stock &amp; W Capital'!$D$14))*$C162*E$124</f>
        <v>  -   </v>
      </c>
      <c r="F162" s="116" t="str">
        <f>((E94*(1-'5.Closing Stock &amp; W Capital'!$D$14))+(D94*'5.Closing Stock &amp; W Capital'!$D$14))*$C$152*F$124</f>
        <v>  -   </v>
      </c>
      <c r="G162" s="116" t="str">
        <f>((F94*(1-'5.Closing Stock &amp; W Capital'!$D$14))+(E94*'5.Closing Stock &amp; W Capital'!$D$14))*$C$152*G$124</f>
        <v>  -   </v>
      </c>
      <c r="H162" s="116" t="str">
        <f>((G94*(1-'5.Closing Stock &amp; W Capital'!$D$14))+(F94*'5.Closing Stock &amp; W Capital'!$D$14))*$C$152*H$124</f>
        <v>  -   </v>
      </c>
      <c r="I162" s="116" t="str">
        <f>((H94*(1-'5.Closing Stock &amp; W Capital'!$D$14))+(G94*'5.Closing Stock &amp; W Capital'!$D$14))*$C$152*I$124</f>
        <v>  -   </v>
      </c>
      <c r="J162" s="116" t="str">
        <f>((I94*(1-'5.Closing Stock &amp; W Capital'!$D$14))+(H94*'5.Closing Stock &amp; W Capital'!$D$14))*$C$152*J$124</f>
        <v>  -   </v>
      </c>
      <c r="K162" s="110"/>
      <c r="U162" s="110"/>
      <c r="V162" s="110"/>
      <c r="W162" s="110"/>
    </row>
    <row r="163" ht="15.75" customHeight="1">
      <c r="A163" s="85" t="str">
        <f t="shared" si="55"/>
        <v>Onion</v>
      </c>
      <c r="B163" s="85"/>
      <c r="C163" s="115"/>
      <c r="D163" s="116" t="str">
        <f>(C95*(1-'5.Closing Stock &amp; W Capital'!$D$14))*$C163*D$124</f>
        <v>  -   </v>
      </c>
      <c r="E163" s="116" t="str">
        <f>((D95*(1-'5.Closing Stock &amp; W Capital'!$D$14))+(C95*'5.Closing Stock &amp; W Capital'!$D$14))*$C163*E$124</f>
        <v>  -   </v>
      </c>
      <c r="F163" s="116" t="str">
        <f>((E95*(1-'5.Closing Stock &amp; W Capital'!$D$14))+(D95*'5.Closing Stock &amp; W Capital'!$D$14))*$C$152*F$124</f>
        <v>  -   </v>
      </c>
      <c r="G163" s="116" t="str">
        <f>((F95*(1-'5.Closing Stock &amp; W Capital'!$D$14))+(E95*'5.Closing Stock &amp; W Capital'!$D$14))*$C$152*G$124</f>
        <v>  -   </v>
      </c>
      <c r="H163" s="116" t="str">
        <f>((G95*(1-'5.Closing Stock &amp; W Capital'!$D$14))+(F95*'5.Closing Stock &amp; W Capital'!$D$14))*$C$152*H$124</f>
        <v>  -   </v>
      </c>
      <c r="I163" s="116" t="str">
        <f>((H95*(1-'5.Closing Stock &amp; W Capital'!$D$14))+(G95*'5.Closing Stock &amp; W Capital'!$D$14))*$C$152*I$124</f>
        <v>  -   </v>
      </c>
      <c r="J163" s="116" t="str">
        <f>((I95*(1-'5.Closing Stock &amp; W Capital'!$D$14))+(H95*'5.Closing Stock &amp; W Capital'!$D$14))*$C$152*J$124</f>
        <v>  -   </v>
      </c>
      <c r="K163" s="110"/>
      <c r="U163" s="110"/>
      <c r="V163" s="110"/>
      <c r="W163" s="110"/>
    </row>
    <row r="164" ht="15.75" customHeight="1">
      <c r="A164" s="85" t="str">
        <f t="shared" si="55"/>
        <v>Tomato</v>
      </c>
      <c r="B164" s="85"/>
      <c r="C164" s="115"/>
      <c r="D164" s="116" t="str">
        <f>(C96*(1-'5.Closing Stock &amp; W Capital'!$D$14))*$C164*D$124</f>
        <v>  -   </v>
      </c>
      <c r="E164" s="116" t="str">
        <f>((D96*(1-'5.Closing Stock &amp; W Capital'!$D$14))+(C96*'5.Closing Stock &amp; W Capital'!$D$14))*$C164*E$124</f>
        <v>  -   </v>
      </c>
      <c r="F164" s="116" t="str">
        <f>((E96*(1-'5.Closing Stock &amp; W Capital'!$D$14))+(D96*'5.Closing Stock &amp; W Capital'!$D$14))*$C$152*F$124</f>
        <v>  -   </v>
      </c>
      <c r="G164" s="116" t="str">
        <f>((F96*(1-'5.Closing Stock &amp; W Capital'!$D$14))+(E96*'5.Closing Stock &amp; W Capital'!$D$14))*$C$152*G$124</f>
        <v>  -   </v>
      </c>
      <c r="H164" s="116" t="str">
        <f>((G96*(1-'5.Closing Stock &amp; W Capital'!$D$14))+(F96*'5.Closing Stock &amp; W Capital'!$D$14))*$C$152*H$124</f>
        <v>  -   </v>
      </c>
      <c r="I164" s="116" t="str">
        <f>((H96*(1-'5.Closing Stock &amp; W Capital'!$D$14))+(G96*'5.Closing Stock &amp; W Capital'!$D$14))*$C$152*I$124</f>
        <v>  -   </v>
      </c>
      <c r="J164" s="116" t="str">
        <f>((I96*(1-'5.Closing Stock &amp; W Capital'!$D$14))+(H96*'5.Closing Stock &amp; W Capital'!$D$14))*$C$152*J$124</f>
        <v>  -   </v>
      </c>
      <c r="K164" s="110"/>
      <c r="U164" s="110"/>
      <c r="V164" s="110"/>
      <c r="W164" s="110"/>
    </row>
    <row r="165" ht="15.75" customHeight="1">
      <c r="A165" s="85" t="str">
        <f t="shared" si="55"/>
        <v>Okra</v>
      </c>
      <c r="B165" s="85"/>
      <c r="C165" s="115"/>
      <c r="D165" s="116" t="str">
        <f>(C97*(1-'5.Closing Stock &amp; W Capital'!$D$14))*$C165*D$124</f>
        <v>  -   </v>
      </c>
      <c r="E165" s="116" t="str">
        <f>((D97*(1-'5.Closing Stock &amp; W Capital'!$D$14))+(C97*'5.Closing Stock &amp; W Capital'!$D$14))*$C165*E$124</f>
        <v>  -   </v>
      </c>
      <c r="F165" s="116" t="str">
        <f>((E97*(1-'5.Closing Stock &amp; W Capital'!$D$14))+(D97*'5.Closing Stock &amp; W Capital'!$D$14))*$C$152*F$124</f>
        <v>  -   </v>
      </c>
      <c r="G165" s="116" t="str">
        <f>((F97*(1-'5.Closing Stock &amp; W Capital'!$D$14))+(E97*'5.Closing Stock &amp; W Capital'!$D$14))*$C$152*G$124</f>
        <v>  -   </v>
      </c>
      <c r="H165" s="116" t="str">
        <f>((G97*(1-'5.Closing Stock &amp; W Capital'!$D$14))+(F97*'5.Closing Stock &amp; W Capital'!$D$14))*$C$152*H$124</f>
        <v>  -   </v>
      </c>
      <c r="I165" s="116" t="str">
        <f>((H97*(1-'5.Closing Stock &amp; W Capital'!$D$14))+(G97*'5.Closing Stock &amp; W Capital'!$D$14))*$C$152*I$124</f>
        <v>  -   </v>
      </c>
      <c r="J165" s="116" t="str">
        <f>((I97*(1-'5.Closing Stock &amp; W Capital'!$D$14))+(H97*'5.Closing Stock &amp; W Capital'!$D$14))*$C$152*J$124</f>
        <v>  -   </v>
      </c>
      <c r="K165" s="110"/>
      <c r="U165" s="110"/>
      <c r="V165" s="110"/>
      <c r="W165" s="110"/>
    </row>
    <row r="166" ht="15.75" customHeight="1">
      <c r="A166" s="85" t="str">
        <f t="shared" si="55"/>
        <v>Chilli</v>
      </c>
      <c r="B166" s="85"/>
      <c r="C166" s="115"/>
      <c r="D166" s="116" t="str">
        <f>(C98*(1-'5.Closing Stock &amp; W Capital'!$D$14))*$C166*D$124</f>
        <v>  -   </v>
      </c>
      <c r="E166" s="116" t="str">
        <f>((D98*(1-'5.Closing Stock &amp; W Capital'!$D$14))+(C98*'5.Closing Stock &amp; W Capital'!$D$14))*$C166*E$124</f>
        <v>  -   </v>
      </c>
      <c r="F166" s="116" t="str">
        <f>((E98*(1-'5.Closing Stock &amp; W Capital'!$D$14))+(D98*'5.Closing Stock &amp; W Capital'!$D$14))*$C$152*F$124</f>
        <v>  -   </v>
      </c>
      <c r="G166" s="116" t="str">
        <f>((F98*(1-'5.Closing Stock &amp; W Capital'!$D$14))+(E98*'5.Closing Stock &amp; W Capital'!$D$14))*$C$152*G$124</f>
        <v>  -   </v>
      </c>
      <c r="H166" s="116" t="str">
        <f>((G98*(1-'5.Closing Stock &amp; W Capital'!$D$14))+(F98*'5.Closing Stock &amp; W Capital'!$D$14))*$C$152*H$124</f>
        <v>  -   </v>
      </c>
      <c r="I166" s="116" t="str">
        <f>((H98*(1-'5.Closing Stock &amp; W Capital'!$D$14))+(G98*'5.Closing Stock &amp; W Capital'!$D$14))*$C$152*I$124</f>
        <v>  -   </v>
      </c>
      <c r="J166" s="116" t="str">
        <f>((I98*(1-'5.Closing Stock &amp; W Capital'!$D$14))+(H98*'5.Closing Stock &amp; W Capital'!$D$14))*$C$152*J$124</f>
        <v>  -   </v>
      </c>
      <c r="K166" s="110"/>
      <c r="U166" s="110"/>
      <c r="V166" s="110"/>
      <c r="W166" s="110"/>
    </row>
    <row r="167" ht="15.75" customHeight="1">
      <c r="A167" s="85" t="str">
        <f t="shared" si="55"/>
        <v>Brinjal</v>
      </c>
      <c r="B167" s="85"/>
      <c r="C167" s="115"/>
      <c r="D167" s="116" t="str">
        <f>(C99*(1-'5.Closing Stock &amp; W Capital'!$D$14))*$C167*D$124</f>
        <v>  -   </v>
      </c>
      <c r="E167" s="116" t="str">
        <f>((D99*(1-'5.Closing Stock &amp; W Capital'!$D$14))+(C99*'5.Closing Stock &amp; W Capital'!$D$14))*$C167*E$124</f>
        <v>  -   </v>
      </c>
      <c r="F167" s="116" t="str">
        <f>((E99*(1-'5.Closing Stock &amp; W Capital'!$D$14))+(D99*'5.Closing Stock &amp; W Capital'!$D$14))*$C$152*F$124</f>
        <v>  -   </v>
      </c>
      <c r="G167" s="116" t="str">
        <f>((F99*(1-'5.Closing Stock &amp; W Capital'!$D$14))+(E99*'5.Closing Stock &amp; W Capital'!$D$14))*$C$152*G$124</f>
        <v>  -   </v>
      </c>
      <c r="H167" s="116" t="str">
        <f>((G99*(1-'5.Closing Stock &amp; W Capital'!$D$14))+(F99*'5.Closing Stock &amp; W Capital'!$D$14))*$C$152*H$124</f>
        <v>  -   </v>
      </c>
      <c r="I167" s="116" t="str">
        <f>((H99*(1-'5.Closing Stock &amp; W Capital'!$D$14))+(G99*'5.Closing Stock &amp; W Capital'!$D$14))*$C$152*I$124</f>
        <v>  -   </v>
      </c>
      <c r="J167" s="116" t="str">
        <f>((I99*(1-'5.Closing Stock &amp; W Capital'!$D$14))+(H99*'5.Closing Stock &amp; W Capital'!$D$14))*$C$152*J$124</f>
        <v>  -   </v>
      </c>
      <c r="K167" s="110"/>
      <c r="U167" s="110"/>
      <c r="V167" s="110"/>
      <c r="W167" s="110"/>
    </row>
    <row r="168" ht="15.75" customHeight="1">
      <c r="A168" s="85" t="str">
        <f t="shared" si="55"/>
        <v/>
      </c>
      <c r="B168" s="85"/>
      <c r="C168" s="115"/>
      <c r="D168" s="116" t="str">
        <f>(C100*(1-'5.Closing Stock &amp; W Capital'!$D$14))*$C168*D$124</f>
        <v>  -   </v>
      </c>
      <c r="E168" s="116" t="str">
        <f>((D100*(1-'5.Closing Stock &amp; W Capital'!$D$14))+(C100*'5.Closing Stock &amp; W Capital'!$D$14))*$C168*E$124</f>
        <v>  -   </v>
      </c>
      <c r="F168" s="116" t="str">
        <f>((E100*(1-'5.Closing Stock &amp; W Capital'!$D$14))+(D100*'5.Closing Stock &amp; W Capital'!$D$14))*$C$152*F$124</f>
        <v>  -   </v>
      </c>
      <c r="G168" s="116" t="str">
        <f>((F100*(1-'5.Closing Stock &amp; W Capital'!$D$14))+(E100*'5.Closing Stock &amp; W Capital'!$D$14))*$C$152*G$124</f>
        <v>  -   </v>
      </c>
      <c r="H168" s="116" t="str">
        <f>((G100*(1-'5.Closing Stock &amp; W Capital'!$D$14))+(F100*'5.Closing Stock &amp; W Capital'!$D$14))*$C$152*H$124</f>
        <v>  -   </v>
      </c>
      <c r="I168" s="116" t="str">
        <f>((H100*(1-'5.Closing Stock &amp; W Capital'!$D$14))+(G100*'5.Closing Stock &amp; W Capital'!$D$14))*$C$152*I$124</f>
        <v>  -   </v>
      </c>
      <c r="J168" s="116" t="str">
        <f>((I100*(1-'5.Closing Stock &amp; W Capital'!$D$14))+(H100*'5.Closing Stock &amp; W Capital'!$D$14))*$C$152*J$124</f>
        <v>  -   </v>
      </c>
      <c r="K168" s="110"/>
      <c r="U168" s="110"/>
      <c r="V168" s="110"/>
      <c r="W168" s="110"/>
    </row>
    <row r="169" ht="15.75" customHeight="1">
      <c r="A169" s="85" t="str">
        <f t="shared" si="55"/>
        <v/>
      </c>
      <c r="B169" s="85"/>
      <c r="C169" s="115"/>
      <c r="D169" s="116" t="str">
        <f>(C101*(1-'5.Closing Stock &amp; W Capital'!$D$14))*$C169*D$124</f>
        <v>  -   </v>
      </c>
      <c r="E169" s="116" t="str">
        <f>((D101*(1-'5.Closing Stock &amp; W Capital'!$D$14))+(C101*'5.Closing Stock &amp; W Capital'!$D$14))*$C169*E$124</f>
        <v>  -   </v>
      </c>
      <c r="F169" s="116" t="str">
        <f>((E101*(1-'5.Closing Stock &amp; W Capital'!$D$14))+(D101*'5.Closing Stock &amp; W Capital'!$D$14))*$C$152*F$124</f>
        <v>  -   </v>
      </c>
      <c r="G169" s="116" t="str">
        <f>((F101*(1-'5.Closing Stock &amp; W Capital'!$D$14))+(E101*'5.Closing Stock &amp; W Capital'!$D$14))*$C$152*G$124</f>
        <v>  -   </v>
      </c>
      <c r="H169" s="116" t="str">
        <f>((G101*(1-'5.Closing Stock &amp; W Capital'!$D$14))+(F101*'5.Closing Stock &amp; W Capital'!$D$14))*$C$152*H$124</f>
        <v>  -   </v>
      </c>
      <c r="I169" s="116" t="str">
        <f>((H101*(1-'5.Closing Stock &amp; W Capital'!$D$14))+(G101*'5.Closing Stock &amp; W Capital'!$D$14))*$C$152*I$124</f>
        <v>  -   </v>
      </c>
      <c r="J169" s="116" t="str">
        <f>((I101*(1-'5.Closing Stock &amp; W Capital'!$D$14))+(H101*'5.Closing Stock &amp; W Capital'!$D$14))*$C$152*J$124</f>
        <v>  -   </v>
      </c>
      <c r="K169" s="110"/>
      <c r="U169" s="110"/>
      <c r="V169" s="110"/>
      <c r="W169" s="110"/>
    </row>
    <row r="170" ht="15.75" customHeight="1">
      <c r="A170" s="85" t="str">
        <f t="shared" si="55"/>
        <v/>
      </c>
      <c r="B170" s="85"/>
      <c r="C170" s="115"/>
      <c r="D170" s="116" t="str">
        <f>(C102*(1-'5.Closing Stock &amp; W Capital'!$D$14))*$C170*D$124</f>
        <v>  -   </v>
      </c>
      <c r="E170" s="116" t="str">
        <f>((D102*(1-'5.Closing Stock &amp; W Capital'!$D$14))+(C102*'5.Closing Stock &amp; W Capital'!$D$14))*$C170*E$124</f>
        <v>  -   </v>
      </c>
      <c r="F170" s="116" t="str">
        <f>((E102*(1-'5.Closing Stock &amp; W Capital'!$D$14))+(D102*'5.Closing Stock &amp; W Capital'!$D$14))*$C$152*F$124</f>
        <v>  -   </v>
      </c>
      <c r="G170" s="116" t="str">
        <f>((F102*(1-'5.Closing Stock &amp; W Capital'!$D$14))+(E102*'5.Closing Stock &amp; W Capital'!$D$14))*$C$152*G$124</f>
        <v>  -   </v>
      </c>
      <c r="H170" s="116" t="str">
        <f>((G102*(1-'5.Closing Stock &amp; W Capital'!$D$14))+(F102*'5.Closing Stock &amp; W Capital'!$D$14))*$C$152*H$124</f>
        <v>  -   </v>
      </c>
      <c r="I170" s="116" t="str">
        <f>((H102*(1-'5.Closing Stock &amp; W Capital'!$D$14))+(G102*'5.Closing Stock &amp; W Capital'!$D$14))*$C$152*I$124</f>
        <v>  -   </v>
      </c>
      <c r="J170" s="116" t="str">
        <f>((I102*(1-'5.Closing Stock &amp; W Capital'!$D$14))+(H102*'5.Closing Stock &amp; W Capital'!$D$14))*$C$152*J$124</f>
        <v>  -   </v>
      </c>
      <c r="K170" s="110"/>
      <c r="U170" s="110"/>
      <c r="V170" s="110"/>
      <c r="W170" s="110"/>
    </row>
    <row r="171" ht="15.75" customHeight="1">
      <c r="A171" s="85" t="str">
        <f t="shared" si="55"/>
        <v/>
      </c>
      <c r="B171" s="85"/>
      <c r="C171" s="115"/>
      <c r="D171" s="116" t="str">
        <f>(C103*(1-'5.Closing Stock &amp; W Capital'!$D$14))*$C171*D$124</f>
        <v>  -   </v>
      </c>
      <c r="E171" s="116" t="str">
        <f>((D103*(1-'5.Closing Stock &amp; W Capital'!$D$14))+(C103*'5.Closing Stock &amp; W Capital'!$D$14))*$C171*E$124</f>
        <v>  -   </v>
      </c>
      <c r="F171" s="116" t="str">
        <f>((E103*(1-'5.Closing Stock &amp; W Capital'!$D$14))+(D103*'5.Closing Stock &amp; W Capital'!$D$14))*$C$152*F$124</f>
        <v>  -   </v>
      </c>
      <c r="G171" s="116" t="str">
        <f>((F103*(1-'5.Closing Stock &amp; W Capital'!$D$14))+(E103*'5.Closing Stock &amp; W Capital'!$D$14))*$C$152*G$124</f>
        <v>  -   </v>
      </c>
      <c r="H171" s="116" t="str">
        <f>((G103*(1-'5.Closing Stock &amp; W Capital'!$D$14))+(F103*'5.Closing Stock &amp; W Capital'!$D$14))*$C$152*H$124</f>
        <v>  -   </v>
      </c>
      <c r="I171" s="116" t="str">
        <f>((H103*(1-'5.Closing Stock &amp; W Capital'!$D$14))+(G103*'5.Closing Stock &amp; W Capital'!$D$14))*$C$152*I$124</f>
        <v>  -   </v>
      </c>
      <c r="J171" s="116" t="str">
        <f>((I103*(1-'5.Closing Stock &amp; W Capital'!$D$14))+(H103*'5.Closing Stock &amp; W Capital'!$D$14))*$C$152*J$124</f>
        <v>  -   </v>
      </c>
      <c r="K171" s="110"/>
      <c r="U171" s="110"/>
      <c r="V171" s="110"/>
      <c r="W171" s="110"/>
    </row>
    <row r="172" ht="15.75" customHeight="1">
      <c r="A172" s="85" t="str">
        <f t="shared" si="55"/>
        <v/>
      </c>
      <c r="B172" s="85"/>
      <c r="C172" s="115"/>
      <c r="D172" s="116" t="str">
        <f>(C104*(1-'5.Closing Stock &amp; W Capital'!$D$14))*$C172*D$124</f>
        <v>  -   </v>
      </c>
      <c r="E172" s="116" t="str">
        <f>((D104*(1-'5.Closing Stock &amp; W Capital'!$D$14))+(C104*'5.Closing Stock &amp; W Capital'!$D$14))*$C172*E$124</f>
        <v>  -   </v>
      </c>
      <c r="F172" s="116" t="str">
        <f>((E104*(1-'5.Closing Stock &amp; W Capital'!$D$14))+(D104*'5.Closing Stock &amp; W Capital'!$D$14))*$C$152*F$124</f>
        <v>  -   </v>
      </c>
      <c r="G172" s="116" t="str">
        <f>((F104*(1-'5.Closing Stock &amp; W Capital'!$D$14))+(E104*'5.Closing Stock &amp; W Capital'!$D$14))*$C$152*G$124</f>
        <v>  -   </v>
      </c>
      <c r="H172" s="116" t="str">
        <f>((G104*(1-'5.Closing Stock &amp; W Capital'!$D$14))+(F104*'5.Closing Stock &amp; W Capital'!$D$14))*$C$152*H$124</f>
        <v>  -   </v>
      </c>
      <c r="I172" s="116" t="str">
        <f>((H104*(1-'5.Closing Stock &amp; W Capital'!$D$14))+(G104*'5.Closing Stock &amp; W Capital'!$D$14))*$C$152*I$124</f>
        <v>  -   </v>
      </c>
      <c r="J172" s="116" t="str">
        <f>((I104*(1-'5.Closing Stock &amp; W Capital'!$D$14))+(H104*'5.Closing Stock &amp; W Capital'!$D$14))*$C$152*J$124</f>
        <v>  -   </v>
      </c>
      <c r="K172" s="110"/>
      <c r="U172" s="110"/>
      <c r="V172" s="110"/>
      <c r="W172" s="110"/>
    </row>
    <row r="173" ht="15.75" customHeight="1">
      <c r="A173" s="85" t="str">
        <f t="shared" si="55"/>
        <v/>
      </c>
      <c r="B173" s="85"/>
      <c r="C173" s="115"/>
      <c r="D173" s="116" t="str">
        <f>(C105*(1-'5.Closing Stock &amp; W Capital'!$D$14))*$C173*D$124</f>
        <v>  -   </v>
      </c>
      <c r="E173" s="116" t="str">
        <f>((D105*(1-'5.Closing Stock &amp; W Capital'!$D$14))+(C105*'5.Closing Stock &amp; W Capital'!$D$14))*$C173*E$124</f>
        <v>  -   </v>
      </c>
      <c r="F173" s="116" t="str">
        <f>((E105*(1-'5.Closing Stock &amp; W Capital'!$D$14))+(D105*'5.Closing Stock &amp; W Capital'!$D$14))*$C$152*F$124</f>
        <v>  -   </v>
      </c>
      <c r="G173" s="116" t="str">
        <f>((F105*(1-'5.Closing Stock &amp; W Capital'!$D$14))+(E105*'5.Closing Stock &amp; W Capital'!$D$14))*$C$152*G$124</f>
        <v>  -   </v>
      </c>
      <c r="H173" s="116" t="str">
        <f>((G105*(1-'5.Closing Stock &amp; W Capital'!$D$14))+(F105*'5.Closing Stock &amp; W Capital'!$D$14))*$C$152*H$124</f>
        <v>  -   </v>
      </c>
      <c r="I173" s="116" t="str">
        <f>((H105*(1-'5.Closing Stock &amp; W Capital'!$D$14))+(G105*'5.Closing Stock &amp; W Capital'!$D$14))*$C$152*I$124</f>
        <v>  -   </v>
      </c>
      <c r="J173" s="116" t="str">
        <f>((I105*(1-'5.Closing Stock &amp; W Capital'!$D$14))+(H105*'5.Closing Stock &amp; W Capital'!$D$14))*$C$152*J$124</f>
        <v>  -   </v>
      </c>
      <c r="K173" s="110"/>
      <c r="U173" s="110"/>
      <c r="V173" s="110"/>
      <c r="W173" s="110"/>
    </row>
    <row r="174" ht="15.75" customHeight="1">
      <c r="A174" s="85" t="str">
        <f t="shared" si="55"/>
        <v/>
      </c>
      <c r="B174" s="85"/>
      <c r="C174" s="115"/>
      <c r="D174" s="116" t="str">
        <f>(C106*(1-'5.Closing Stock &amp; W Capital'!$D$14))*$C174*D$124</f>
        <v>  -   </v>
      </c>
      <c r="E174" s="116" t="str">
        <f>((D106*(1-'5.Closing Stock &amp; W Capital'!$D$14))+(C106*'5.Closing Stock &amp; W Capital'!$D$14))*$C174*E$124</f>
        <v>  -   </v>
      </c>
      <c r="F174" s="116" t="str">
        <f>((E106*(1-'5.Closing Stock &amp; W Capital'!$D$14))+(D106*'5.Closing Stock &amp; W Capital'!$D$14))*$C$152*F$124</f>
        <v>  -   </v>
      </c>
      <c r="G174" s="116" t="str">
        <f>((F106*(1-'5.Closing Stock &amp; W Capital'!$D$14))+(E106*'5.Closing Stock &amp; W Capital'!$D$14))*$C$152*G$124</f>
        <v>  -   </v>
      </c>
      <c r="H174" s="116" t="str">
        <f>((G106*(1-'5.Closing Stock &amp; W Capital'!$D$14))+(F106*'5.Closing Stock &amp; W Capital'!$D$14))*$C$152*H$124</f>
        <v>  -   </v>
      </c>
      <c r="I174" s="116" t="str">
        <f>((H106*(1-'5.Closing Stock &amp; W Capital'!$D$14))+(G106*'5.Closing Stock &amp; W Capital'!$D$14))*$C$152*I$124</f>
        <v>  -   </v>
      </c>
      <c r="J174" s="116" t="str">
        <f>((I106*(1-'5.Closing Stock &amp; W Capital'!$D$14))+(H106*'5.Closing Stock &amp; W Capital'!$D$14))*$C$152*J$124</f>
        <v>  -   </v>
      </c>
      <c r="K174" s="110"/>
      <c r="U174" s="110"/>
      <c r="V174" s="110"/>
      <c r="W174" s="110"/>
    </row>
    <row r="175" ht="15.75" customHeight="1">
      <c r="A175" s="85" t="str">
        <f t="shared" si="55"/>
        <v>Pomegranate</v>
      </c>
      <c r="B175" s="85"/>
      <c r="C175" s="115"/>
      <c r="D175" s="116" t="str">
        <f>(C107*(1-'5.Closing Stock &amp; W Capital'!$D$14))*$C175*D$124</f>
        <v>  -   </v>
      </c>
      <c r="E175" s="116" t="str">
        <f>((D107*(1-'5.Closing Stock &amp; W Capital'!$D$14))+(C107*'5.Closing Stock &amp; W Capital'!$D$14))*$C175*E$124</f>
        <v>  -   </v>
      </c>
      <c r="F175" s="116" t="str">
        <f>((E107*(1-'5.Closing Stock &amp; W Capital'!$D$14))+(D107*'5.Closing Stock &amp; W Capital'!$D$14))*$C$152*F$124</f>
        <v>  -   </v>
      </c>
      <c r="G175" s="116" t="str">
        <f>((F107*(1-'5.Closing Stock &amp; W Capital'!$D$14))+(E107*'5.Closing Stock &amp; W Capital'!$D$14))*$C$152*G$124</f>
        <v>  -   </v>
      </c>
      <c r="H175" s="116" t="str">
        <f>((G107*(1-'5.Closing Stock &amp; W Capital'!$D$14))+(F107*'5.Closing Stock &amp; W Capital'!$D$14))*$C$152*H$124</f>
        <v>  -   </v>
      </c>
      <c r="I175" s="116" t="str">
        <f>((H107*(1-'5.Closing Stock &amp; W Capital'!$D$14))+(G107*'5.Closing Stock &amp; W Capital'!$D$14))*$C$152*I$124</f>
        <v>  -   </v>
      </c>
      <c r="J175" s="116" t="str">
        <f>((I107*(1-'5.Closing Stock &amp; W Capital'!$D$14))+(H107*'5.Closing Stock &amp; W Capital'!$D$14))*$C$152*J$124</f>
        <v>  -   </v>
      </c>
      <c r="K175" s="110"/>
      <c r="U175" s="110"/>
      <c r="V175" s="110"/>
      <c r="W175" s="110"/>
    </row>
    <row r="176" ht="15.75" customHeight="1">
      <c r="A176" s="85" t="str">
        <f t="shared" si="55"/>
        <v>Custard Apple</v>
      </c>
      <c r="B176" s="85"/>
      <c r="C176" s="115"/>
      <c r="D176" s="116" t="str">
        <f>(C108*(1-'5.Closing Stock &amp; W Capital'!$D$14))*$C176*D$124</f>
        <v>  -   </v>
      </c>
      <c r="E176" s="116" t="str">
        <f>((D108*(1-'5.Closing Stock &amp; W Capital'!$D$14))+(C108*'5.Closing Stock &amp; W Capital'!$D$14))*$C176*E$124</f>
        <v>  -   </v>
      </c>
      <c r="F176" s="116" t="str">
        <f>((E108*(1-'5.Closing Stock &amp; W Capital'!$D$14))+(D108*'5.Closing Stock &amp; W Capital'!$D$14))*$C$152*F$124</f>
        <v>  -   </v>
      </c>
      <c r="G176" s="116" t="str">
        <f>((F108*(1-'5.Closing Stock &amp; W Capital'!$D$14))+(E108*'5.Closing Stock &amp; W Capital'!$D$14))*$C$152*G$124</f>
        <v>  -   </v>
      </c>
      <c r="H176" s="116" t="str">
        <f>((G108*(1-'5.Closing Stock &amp; W Capital'!$D$14))+(F108*'5.Closing Stock &amp; W Capital'!$D$14))*$C$152*H$124</f>
        <v>  -   </v>
      </c>
      <c r="I176" s="116" t="str">
        <f>((H108*(1-'5.Closing Stock &amp; W Capital'!$D$14))+(G108*'5.Closing Stock &amp; W Capital'!$D$14))*$C$152*I$124</f>
        <v>  -   </v>
      </c>
      <c r="J176" s="116" t="str">
        <f>((I108*(1-'5.Closing Stock &amp; W Capital'!$D$14))+(H108*'5.Closing Stock &amp; W Capital'!$D$14))*$C$152*J$124</f>
        <v>  -   </v>
      </c>
      <c r="K176" s="110"/>
      <c r="U176" s="110"/>
      <c r="V176" s="110"/>
      <c r="W176" s="110"/>
    </row>
    <row r="177" ht="15.75" customHeight="1">
      <c r="A177" s="85" t="str">
        <f t="shared" si="55"/>
        <v>Guava</v>
      </c>
      <c r="B177" s="85"/>
      <c r="C177" s="115"/>
      <c r="D177" s="116" t="str">
        <f>(C109*(1-'5.Closing Stock &amp; W Capital'!$D$14))*$C177*D$124</f>
        <v>  -   </v>
      </c>
      <c r="E177" s="116" t="str">
        <f>((D109*(1-'5.Closing Stock &amp; W Capital'!$D$14))+(C109*'5.Closing Stock &amp; W Capital'!$D$14))*$C177*E$124</f>
        <v>  -   </v>
      </c>
      <c r="F177" s="116" t="str">
        <f>((E109*(1-'5.Closing Stock &amp; W Capital'!$D$14))+(D109*'5.Closing Stock &amp; W Capital'!$D$14))*$C$152*F$124</f>
        <v>  -   </v>
      </c>
      <c r="G177" s="116" t="str">
        <f>((F109*(1-'5.Closing Stock &amp; W Capital'!$D$14))+(E109*'5.Closing Stock &amp; W Capital'!$D$14))*$C$152*G$124</f>
        <v>  -   </v>
      </c>
      <c r="H177" s="116" t="str">
        <f>((G109*(1-'5.Closing Stock &amp; W Capital'!$D$14))+(F109*'5.Closing Stock &amp; W Capital'!$D$14))*$C$152*H$124</f>
        <v>  -   </v>
      </c>
      <c r="I177" s="116" t="str">
        <f>((H109*(1-'5.Closing Stock &amp; W Capital'!$D$14))+(G109*'5.Closing Stock &amp; W Capital'!$D$14))*$C$152*I$124</f>
        <v>  -   </v>
      </c>
      <c r="J177" s="116" t="str">
        <f>((I109*(1-'5.Closing Stock &amp; W Capital'!$D$14))+(H109*'5.Closing Stock &amp; W Capital'!$D$14))*$C$152*J$124</f>
        <v>  -   </v>
      </c>
      <c r="K177" s="110"/>
      <c r="U177" s="110"/>
      <c r="V177" s="110"/>
      <c r="W177" s="110"/>
    </row>
    <row r="178" ht="15.75" customHeight="1">
      <c r="A178" s="85" t="str">
        <f t="shared" si="55"/>
        <v>Citrus</v>
      </c>
      <c r="B178" s="85"/>
      <c r="C178" s="115"/>
      <c r="D178" s="116" t="str">
        <f>(C110*(1-'5.Closing Stock &amp; W Capital'!$D$14))*$C178*D$124</f>
        <v>  -   </v>
      </c>
      <c r="E178" s="116" t="str">
        <f>((D110*(1-'5.Closing Stock &amp; W Capital'!$D$14))+(C110*'5.Closing Stock &amp; W Capital'!$D$14))*$C178*E$124</f>
        <v>  -   </v>
      </c>
      <c r="F178" s="116" t="str">
        <f>((E110*(1-'5.Closing Stock &amp; W Capital'!$D$14))+(D110*'5.Closing Stock &amp; W Capital'!$D$14))*$C$152*F$124</f>
        <v>  -   </v>
      </c>
      <c r="G178" s="116" t="str">
        <f>((F110*(1-'5.Closing Stock &amp; W Capital'!$D$14))+(E110*'5.Closing Stock &amp; W Capital'!$D$14))*$C$152*G$124</f>
        <v>  -   </v>
      </c>
      <c r="H178" s="116" t="str">
        <f>((G110*(1-'5.Closing Stock &amp; W Capital'!$D$14))+(F110*'5.Closing Stock &amp; W Capital'!$D$14))*$C$152*H$124</f>
        <v>  -   </v>
      </c>
      <c r="I178" s="116" t="str">
        <f>((H110*(1-'5.Closing Stock &amp; W Capital'!$D$14))+(G110*'5.Closing Stock &amp; W Capital'!$D$14))*$C$152*I$124</f>
        <v>  -   </v>
      </c>
      <c r="J178" s="116" t="str">
        <f>((I110*(1-'5.Closing Stock &amp; W Capital'!$D$14))+(H110*'5.Closing Stock &amp; W Capital'!$D$14))*$C$152*J$124</f>
        <v>  -   </v>
      </c>
      <c r="K178" s="110"/>
      <c r="U178" s="110"/>
      <c r="V178" s="110"/>
      <c r="W178" s="110"/>
    </row>
    <row r="179" ht="15.75" customHeight="1">
      <c r="A179" s="85" t="str">
        <f t="shared" si="55"/>
        <v/>
      </c>
      <c r="B179" s="85"/>
      <c r="C179" s="115"/>
      <c r="D179" s="116"/>
      <c r="E179" s="116"/>
      <c r="F179" s="116"/>
      <c r="G179" s="116"/>
      <c r="H179" s="116"/>
      <c r="I179" s="116"/>
      <c r="J179" s="116"/>
      <c r="K179" s="110"/>
      <c r="U179" s="110"/>
      <c r="V179" s="110"/>
      <c r="W179" s="110"/>
    </row>
    <row r="180" ht="15.75" customHeight="1">
      <c r="A180" s="85"/>
      <c r="B180" s="85"/>
      <c r="C180" s="116"/>
      <c r="D180" s="116"/>
      <c r="E180" s="116"/>
      <c r="F180" s="116"/>
      <c r="G180" s="116"/>
      <c r="H180" s="116"/>
      <c r="I180" s="116"/>
      <c r="J180" s="116"/>
      <c r="K180" s="110"/>
      <c r="U180" s="110"/>
      <c r="V180" s="110"/>
      <c r="W180" s="110"/>
    </row>
    <row r="181" ht="15.75" customHeight="1">
      <c r="A181" s="85" t="s">
        <v>712</v>
      </c>
      <c r="B181" s="85"/>
      <c r="C181" s="116"/>
      <c r="D181" s="116"/>
      <c r="E181" s="116"/>
      <c r="F181" s="116"/>
      <c r="G181" s="116"/>
      <c r="H181" s="116"/>
      <c r="I181" s="116"/>
      <c r="J181" s="116"/>
      <c r="K181" s="110"/>
      <c r="U181" s="110"/>
      <c r="V181" s="110"/>
      <c r="W181" s="110"/>
    </row>
    <row r="182" ht="15.75" customHeight="1">
      <c r="A182" s="85" t="s">
        <v>704</v>
      </c>
      <c r="B182" s="85"/>
      <c r="C182" s="115">
        <v>0.0</v>
      </c>
      <c r="D182" s="116" t="str">
        <f>(C114*(1-'5.Closing Stock &amp; W Capital'!$D$14))*$C$182*D124</f>
        <v>  -   </v>
      </c>
      <c r="E182" s="116" t="str">
        <f>((D114*(1-'5.Closing Stock &amp; W Capital'!$D$14))+(C114*'5.Closing Stock &amp; W Capital'!$D$14))*$C$182*E124</f>
        <v>  -   </v>
      </c>
      <c r="F182" s="116" t="str">
        <f>((E114*(1-'5.Closing Stock &amp; W Capital'!$D$14))+(D114*'5.Closing Stock &amp; W Capital'!$D$14))*$C$182*F124</f>
        <v>  -   </v>
      </c>
      <c r="G182" s="116" t="str">
        <f>((F114*(1-'5.Closing Stock &amp; W Capital'!$D$14))+(E114*'5.Closing Stock &amp; W Capital'!$D$14))*$C$182*G124</f>
        <v>  -   </v>
      </c>
      <c r="H182" s="116" t="str">
        <f>((G114*(1-'5.Closing Stock &amp; W Capital'!$D$14))+(F114*'5.Closing Stock &amp; W Capital'!$D$14))*$C$182*H124</f>
        <v>  -   </v>
      </c>
      <c r="I182" s="116" t="str">
        <f>((H114*(1-'5.Closing Stock &amp; W Capital'!$D$14))+(G114*'5.Closing Stock &amp; W Capital'!$D$14))*$C$182*I124</f>
        <v>  -   </v>
      </c>
      <c r="J182" s="116" t="str">
        <f>((I114*(1-'5.Closing Stock &amp; W Capital'!$D$14))+(H114*'5.Closing Stock &amp; W Capital'!$D$14))*$C$182*J124</f>
        <v>  -   </v>
      </c>
      <c r="K182" s="110"/>
      <c r="U182" s="110"/>
      <c r="V182" s="110"/>
      <c r="W182" s="110"/>
    </row>
    <row r="183" ht="15.75" customHeight="1">
      <c r="A183" s="85" t="s">
        <v>705</v>
      </c>
      <c r="B183" s="85"/>
      <c r="C183" s="115">
        <v>0.0</v>
      </c>
      <c r="D183" s="116" t="str">
        <f>(C115*(1-'5.Closing Stock &amp; W Capital'!$D$14))*$C$183*D124</f>
        <v>  -   </v>
      </c>
      <c r="E183" s="116" t="str">
        <f>((D115*(1-'5.Closing Stock &amp; W Capital'!$D$14))+(C115*'5.Closing Stock &amp; W Capital'!$D$14))*$C$183*E124</f>
        <v>  -   </v>
      </c>
      <c r="F183" s="116" t="str">
        <f>((E115*(1-'5.Closing Stock &amp; W Capital'!$D$14))+(D115*'5.Closing Stock &amp; W Capital'!$D$14))*$C$183*F124</f>
        <v>  -   </v>
      </c>
      <c r="G183" s="116" t="str">
        <f>((F115*(1-'5.Closing Stock &amp; W Capital'!$D$14))+(E115*'5.Closing Stock &amp; W Capital'!$D$14))*$C$183*G124</f>
        <v>  -   </v>
      </c>
      <c r="H183" s="116" t="str">
        <f>((G115*(1-'5.Closing Stock &amp; W Capital'!$D$14))+(F115*'5.Closing Stock &amp; W Capital'!$D$14))*$C$183*H124</f>
        <v>  -   </v>
      </c>
      <c r="I183" s="116" t="str">
        <f>((H115*(1-'5.Closing Stock &amp; W Capital'!$D$14))+(G115*'5.Closing Stock &amp; W Capital'!$D$14))*$C$183*I124</f>
        <v>  -   </v>
      </c>
      <c r="J183" s="116" t="str">
        <f>((I115*(1-'5.Closing Stock &amp; W Capital'!$D$14))+(H115*'5.Closing Stock &amp; W Capital'!$D$14))*$C$183*J124</f>
        <v>  -   </v>
      </c>
      <c r="K183" s="110"/>
      <c r="U183" s="110"/>
      <c r="V183" s="110"/>
      <c r="W183" s="110"/>
    </row>
    <row r="184" ht="15.75" customHeight="1">
      <c r="A184" s="85" t="s">
        <v>706</v>
      </c>
      <c r="B184" s="85"/>
      <c r="C184" s="115">
        <v>0.0</v>
      </c>
      <c r="D184" s="116" t="str">
        <f>(C116*(1-'5.Closing Stock &amp; W Capital'!$D$14))*$C$184*D124</f>
        <v>  -   </v>
      </c>
      <c r="E184" s="116" t="str">
        <f>((D116*(1-'5.Closing Stock &amp; W Capital'!$D$14))+(C116*'5.Closing Stock &amp; W Capital'!$D$14))*$C$184*E124</f>
        <v>  -   </v>
      </c>
      <c r="F184" s="116" t="str">
        <f>((E116*(1-'5.Closing Stock &amp; W Capital'!$D$14))+(D116*'5.Closing Stock &amp; W Capital'!$D$14))*$C$184*F124</f>
        <v>  -   </v>
      </c>
      <c r="G184" s="116" t="str">
        <f>((F116*(1-'5.Closing Stock &amp; W Capital'!$D$14))+(E116*'5.Closing Stock &amp; W Capital'!$D$14))*$C$184*G124</f>
        <v>  -   </v>
      </c>
      <c r="H184" s="116" t="str">
        <f>((G116*(1-'5.Closing Stock &amp; W Capital'!$D$14))+(F116*'5.Closing Stock &amp; W Capital'!$D$14))*$C$184*H124</f>
        <v>  -   </v>
      </c>
      <c r="I184" s="116" t="str">
        <f>((H116*(1-'5.Closing Stock &amp; W Capital'!$D$14))+(G116*'5.Closing Stock &amp; W Capital'!$D$14))*$C$184*I124</f>
        <v>  -   </v>
      </c>
      <c r="J184" s="116" t="str">
        <f>((I116*(1-'5.Closing Stock &amp; W Capital'!$D$14))+(H116*'5.Closing Stock &amp; W Capital'!$D$14))*$C$184*J124</f>
        <v>  -   </v>
      </c>
      <c r="K184" s="110"/>
      <c r="U184" s="110"/>
      <c r="V184" s="110"/>
      <c r="W184" s="110"/>
    </row>
    <row r="185" ht="15.75" customHeight="1">
      <c r="A185" s="85"/>
      <c r="B185" s="85"/>
      <c r="C185" s="116"/>
      <c r="D185" s="116"/>
      <c r="E185" s="116"/>
      <c r="F185" s="116"/>
      <c r="G185" s="116"/>
      <c r="H185" s="116"/>
      <c r="I185" s="116"/>
      <c r="J185" s="116"/>
      <c r="K185" s="110"/>
      <c r="U185" s="110"/>
      <c r="V185" s="110"/>
      <c r="W185" s="110"/>
    </row>
    <row r="186" ht="15.75" customHeight="1">
      <c r="A186" s="85" t="s">
        <v>707</v>
      </c>
      <c r="B186" s="85"/>
      <c r="C186" s="116"/>
      <c r="D186" s="116"/>
      <c r="E186" s="116"/>
      <c r="F186" s="116"/>
      <c r="G186" s="116"/>
      <c r="H186" s="116"/>
      <c r="I186" s="116"/>
      <c r="J186" s="116"/>
      <c r="K186" s="110"/>
      <c r="U186" s="110"/>
      <c r="V186" s="110"/>
      <c r="W186" s="110"/>
    </row>
    <row r="187" ht="15.75" customHeight="1">
      <c r="A187" s="85" t="s">
        <v>708</v>
      </c>
      <c r="B187" s="85"/>
      <c r="C187" s="115">
        <v>0.0</v>
      </c>
      <c r="D187" s="116" t="str">
        <f>(C118*(1-'5.Closing Stock &amp; W Capital'!$D$14))*$C$187*D124</f>
        <v>  -   </v>
      </c>
      <c r="E187" s="116" t="str">
        <f>((D118*(1-'5.Closing Stock &amp; W Capital'!$D$14))+(C118*'5.Closing Stock &amp; W Capital'!$D$14))*$C$187*E124</f>
        <v>  -   </v>
      </c>
      <c r="F187" s="116" t="str">
        <f>((E118*(1-'5.Closing Stock &amp; W Capital'!$D$14))+(D118*'5.Closing Stock &amp; W Capital'!$D$14))*$C$187*F124</f>
        <v>  -   </v>
      </c>
      <c r="G187" s="116" t="str">
        <f>((F118*(1-'5.Closing Stock &amp; W Capital'!$D$14))+(E118*'5.Closing Stock &amp; W Capital'!$D$14))*$C$187*G124</f>
        <v>  -   </v>
      </c>
      <c r="H187" s="116" t="str">
        <f>((G118*(1-'5.Closing Stock &amp; W Capital'!$D$14))+(F118*'5.Closing Stock &amp; W Capital'!$D$14))*$C$187*H124</f>
        <v>  -   </v>
      </c>
      <c r="I187" s="116" t="str">
        <f>((H118*(1-'5.Closing Stock &amp; W Capital'!$D$14))+(G118*'5.Closing Stock &amp; W Capital'!$D$14))*$C$187*I124</f>
        <v>  -   </v>
      </c>
      <c r="J187" s="116" t="str">
        <f>((I118*(1-'5.Closing Stock &amp; W Capital'!$D$14))+(H118*'5.Closing Stock &amp; W Capital'!$D$14))*$C$187*J124</f>
        <v>  -   </v>
      </c>
      <c r="K187" s="110"/>
      <c r="U187" s="370"/>
      <c r="V187" s="370"/>
      <c r="W187" s="370"/>
    </row>
    <row r="188" ht="15.75" customHeight="1">
      <c r="A188" s="85" t="s">
        <v>709</v>
      </c>
      <c r="B188" s="85"/>
      <c r="C188" s="115">
        <v>0.0</v>
      </c>
      <c r="D188" s="116" t="str">
        <f>(C119*(1-'5.Closing Stock &amp; W Capital'!$D$14))*$C$188*D124</f>
        <v>  -   </v>
      </c>
      <c r="E188" s="116" t="str">
        <f>((D119*(1-'5.Closing Stock &amp; W Capital'!$D$14))+(C119*'5.Closing Stock &amp; W Capital'!$D$14))*$C$188*E124</f>
        <v>  -   </v>
      </c>
      <c r="F188" s="116" t="str">
        <f>((E119*(1-'5.Closing Stock &amp; W Capital'!$D$14))+(D119*'5.Closing Stock &amp; W Capital'!$D$14))*$C$188*F124</f>
        <v>  -   </v>
      </c>
      <c r="G188" s="116" t="str">
        <f>((F119*(1-'5.Closing Stock &amp; W Capital'!$D$14))+(E119*'5.Closing Stock &amp; W Capital'!$D$14))*$C$188*G124</f>
        <v>  -   </v>
      </c>
      <c r="H188" s="116" t="str">
        <f>((G119*(1-'5.Closing Stock &amp; W Capital'!$D$14))+(F119*'5.Closing Stock &amp; W Capital'!$D$14))*$C$188*H124</f>
        <v>  -   </v>
      </c>
      <c r="I188" s="116" t="str">
        <f>((H119*(1-'5.Closing Stock &amp; W Capital'!$D$14))+(G119*'5.Closing Stock &amp; W Capital'!$D$14))*$C$188*I124</f>
        <v>  -   </v>
      </c>
      <c r="J188" s="116" t="str">
        <f>((I119*(1-'5.Closing Stock &amp; W Capital'!$D$14))+(H119*'5.Closing Stock &amp; W Capital'!$D$14))*$C$188*J124</f>
        <v>  -   </v>
      </c>
      <c r="K188" s="110"/>
      <c r="U188" s="110"/>
      <c r="V188" s="110"/>
      <c r="W188" s="110"/>
    </row>
    <row r="189" ht="15.75" customHeight="1">
      <c r="A189" s="85"/>
      <c r="B189" s="85"/>
      <c r="C189" s="116"/>
      <c r="D189" s="116"/>
      <c r="E189" s="116"/>
      <c r="F189" s="116"/>
      <c r="G189" s="116"/>
      <c r="H189" s="116"/>
      <c r="I189" s="116"/>
      <c r="J189" s="116"/>
      <c r="K189" s="110"/>
      <c r="U189" s="110"/>
      <c r="V189" s="110"/>
      <c r="W189" s="110"/>
    </row>
    <row r="190" ht="15.75" customHeight="1">
      <c r="A190" s="85"/>
      <c r="B190" s="85"/>
      <c r="C190" s="116"/>
      <c r="D190" s="116"/>
      <c r="E190" s="116"/>
      <c r="F190" s="116"/>
      <c r="G190" s="116"/>
      <c r="H190" s="116"/>
      <c r="I190" s="116"/>
      <c r="J190" s="116"/>
      <c r="K190" s="110"/>
      <c r="U190" s="110"/>
      <c r="V190" s="110"/>
      <c r="W190" s="110"/>
    </row>
    <row r="191" ht="15.75" customHeight="1">
      <c r="A191" s="117" t="s">
        <v>384</v>
      </c>
      <c r="B191" s="117"/>
      <c r="C191" s="118"/>
      <c r="D191" s="118" t="str">
        <f t="shared" ref="D191:J191" si="56">SUM(D130:D188)</f>
        <v>  -   </v>
      </c>
      <c r="E191" s="118" t="str">
        <f t="shared" si="56"/>
        <v>  -   </v>
      </c>
      <c r="F191" s="118" t="str">
        <f t="shared" si="56"/>
        <v>  -   </v>
      </c>
      <c r="G191" s="118" t="str">
        <f t="shared" si="56"/>
        <v>  -   </v>
      </c>
      <c r="H191" s="118" t="str">
        <f t="shared" si="56"/>
        <v>  -   </v>
      </c>
      <c r="I191" s="118" t="str">
        <f t="shared" si="56"/>
        <v>  -   </v>
      </c>
      <c r="J191" s="118" t="str">
        <f t="shared" si="56"/>
        <v>  -   </v>
      </c>
      <c r="K191" s="110"/>
      <c r="U191" s="110"/>
      <c r="V191" s="110"/>
      <c r="W191" s="110"/>
    </row>
    <row r="192" ht="15.75" customHeight="1">
      <c r="A192" s="85"/>
      <c r="B192" s="85"/>
      <c r="C192" s="116"/>
      <c r="D192" s="116"/>
      <c r="E192" s="116"/>
      <c r="F192" s="116"/>
      <c r="G192" s="116"/>
      <c r="H192" s="116"/>
      <c r="I192" s="116"/>
      <c r="J192" s="116"/>
      <c r="K192" s="110"/>
      <c r="U192" s="110"/>
      <c r="V192" s="110"/>
      <c r="W192" s="110"/>
    </row>
    <row r="193" ht="15.75" customHeight="1">
      <c r="A193" s="85"/>
      <c r="B193" s="85"/>
      <c r="C193" s="116"/>
      <c r="D193" s="116"/>
      <c r="E193" s="116"/>
      <c r="F193" s="116"/>
      <c r="G193" s="116"/>
      <c r="H193" s="116"/>
      <c r="I193" s="116"/>
      <c r="J193" s="116"/>
      <c r="K193" s="110"/>
      <c r="U193" s="110"/>
      <c r="V193" s="110"/>
      <c r="W193" s="110"/>
    </row>
    <row r="194" ht="15.75" customHeight="1">
      <c r="A194" s="117" t="s">
        <v>618</v>
      </c>
      <c r="B194" s="117"/>
      <c r="C194" s="116"/>
      <c r="D194" s="116"/>
      <c r="E194" s="116"/>
      <c r="F194" s="116"/>
      <c r="G194" s="116"/>
      <c r="H194" s="116"/>
      <c r="I194" s="116"/>
      <c r="J194" s="116"/>
      <c r="K194" s="110"/>
      <c r="U194" s="110"/>
      <c r="V194" s="110"/>
      <c r="W194" s="110"/>
    </row>
    <row r="195" ht="15.75" customHeight="1">
      <c r="A195" s="117" t="str">
        <f>A128</f>
        <v>Seeds (Rate/KG)</v>
      </c>
      <c r="B195" s="117"/>
      <c r="C195" s="116"/>
      <c r="D195" s="116"/>
      <c r="E195" s="116"/>
      <c r="F195" s="116"/>
      <c r="G195" s="116"/>
      <c r="H195" s="116"/>
      <c r="I195" s="116"/>
      <c r="J195" s="116"/>
      <c r="K195" s="110"/>
      <c r="U195" s="110"/>
      <c r="V195" s="110"/>
      <c r="W195" s="110"/>
    </row>
    <row r="196" ht="15.75" customHeight="1">
      <c r="A196" s="110" t="s">
        <v>385</v>
      </c>
      <c r="B196" s="110"/>
      <c r="C196" s="110"/>
      <c r="D196" s="110"/>
      <c r="E196" s="110"/>
      <c r="F196" s="110"/>
      <c r="G196" s="110"/>
      <c r="H196" s="110"/>
      <c r="I196" s="110"/>
      <c r="J196" s="110"/>
      <c r="K196" s="110"/>
      <c r="U196" s="110"/>
      <c r="V196" s="110"/>
      <c r="W196" s="110"/>
    </row>
    <row r="197" ht="15.75" customHeight="1">
      <c r="A197" s="85" t="str">
        <f t="shared" ref="A197:A238" si="58">A130</f>
        <v>Soybean</v>
      </c>
      <c r="B197" s="110"/>
      <c r="C197" s="115">
        <v>85.0</v>
      </c>
      <c r="D197" s="116" t="str">
        <f t="shared" ref="D197:J197" si="57">C62*$C197*D$124</f>
        <v>  -   </v>
      </c>
      <c r="E197" s="116" t="str">
        <f t="shared" si="57"/>
        <v>  -   </v>
      </c>
      <c r="F197" s="116" t="str">
        <f t="shared" si="57"/>
        <v>  -   </v>
      </c>
      <c r="G197" s="116" t="str">
        <f t="shared" si="57"/>
        <v>  -   </v>
      </c>
      <c r="H197" s="116" t="str">
        <f t="shared" si="57"/>
        <v>  -   </v>
      </c>
      <c r="I197" s="116" t="str">
        <f t="shared" si="57"/>
        <v>  -   </v>
      </c>
      <c r="J197" s="116" t="str">
        <f t="shared" si="57"/>
        <v>  -   </v>
      </c>
      <c r="K197" s="110"/>
      <c r="U197" s="110"/>
      <c r="V197" s="110"/>
      <c r="W197" s="110"/>
    </row>
    <row r="198" ht="15.75" customHeight="1">
      <c r="A198" s="85" t="str">
        <f t="shared" si="58"/>
        <v>Redgram</v>
      </c>
      <c r="B198" s="85"/>
      <c r="C198" s="115">
        <v>75.0</v>
      </c>
      <c r="D198" s="116" t="str">
        <f t="shared" ref="D198:J198" si="59">C63*$C198*D$124</f>
        <v>  -   </v>
      </c>
      <c r="E198" s="116" t="str">
        <f t="shared" si="59"/>
        <v>  -   </v>
      </c>
      <c r="F198" s="116" t="str">
        <f t="shared" si="59"/>
        <v>  -   </v>
      </c>
      <c r="G198" s="116" t="str">
        <f t="shared" si="59"/>
        <v>  -   </v>
      </c>
      <c r="H198" s="116" t="str">
        <f t="shared" si="59"/>
        <v>  -   </v>
      </c>
      <c r="I198" s="116" t="str">
        <f t="shared" si="59"/>
        <v>  -   </v>
      </c>
      <c r="J198" s="116" t="str">
        <f t="shared" si="59"/>
        <v>  -   </v>
      </c>
      <c r="K198" s="110"/>
      <c r="U198" s="110"/>
      <c r="V198" s="110"/>
      <c r="W198" s="110"/>
    </row>
    <row r="199" ht="15.75" customHeight="1">
      <c r="A199" s="85" t="str">
        <f t="shared" si="58"/>
        <v>Turmeric</v>
      </c>
      <c r="B199" s="85"/>
      <c r="C199" s="115">
        <v>57.0</v>
      </c>
      <c r="D199" s="116" t="str">
        <f t="shared" ref="D199:J199" si="60">C64*$C199*D$124</f>
        <v>  -   </v>
      </c>
      <c r="E199" s="116" t="str">
        <f t="shared" si="60"/>
        <v>  -   </v>
      </c>
      <c r="F199" s="116" t="str">
        <f t="shared" si="60"/>
        <v>  -   </v>
      </c>
      <c r="G199" s="116" t="str">
        <f t="shared" si="60"/>
        <v>  -   </v>
      </c>
      <c r="H199" s="116" t="str">
        <f t="shared" si="60"/>
        <v>  -   </v>
      </c>
      <c r="I199" s="116" t="str">
        <f t="shared" si="60"/>
        <v>  -   </v>
      </c>
      <c r="J199" s="116" t="str">
        <f t="shared" si="60"/>
        <v>  -   </v>
      </c>
      <c r="K199" s="110"/>
      <c r="U199" s="110"/>
      <c r="V199" s="110"/>
      <c r="W199" s="110"/>
    </row>
    <row r="200" ht="15.75" customHeight="1">
      <c r="A200" s="85" t="str">
        <f t="shared" si="58"/>
        <v>Bengalgram</v>
      </c>
      <c r="B200" s="85"/>
      <c r="C200" s="115">
        <v>80.0</v>
      </c>
      <c r="D200" s="116" t="str">
        <f t="shared" ref="D200:J200" si="61">C65*$C200*D$124</f>
        <v>  -   </v>
      </c>
      <c r="E200" s="116" t="str">
        <f t="shared" si="61"/>
        <v>  -   </v>
      </c>
      <c r="F200" s="116" t="str">
        <f t="shared" si="61"/>
        <v>  -   </v>
      </c>
      <c r="G200" s="116" t="str">
        <f t="shared" si="61"/>
        <v>  -   </v>
      </c>
      <c r="H200" s="116" t="str">
        <f t="shared" si="61"/>
        <v>  -   </v>
      </c>
      <c r="I200" s="116" t="str">
        <f t="shared" si="61"/>
        <v>  -   </v>
      </c>
      <c r="J200" s="116" t="str">
        <f t="shared" si="61"/>
        <v>  -   </v>
      </c>
      <c r="K200" s="110"/>
      <c r="L200" s="110"/>
      <c r="M200" s="110"/>
      <c r="N200" s="110"/>
      <c r="O200" s="110"/>
      <c r="P200" s="110"/>
      <c r="Q200" s="110"/>
      <c r="R200" s="110"/>
      <c r="S200" s="110"/>
      <c r="T200" s="110"/>
      <c r="U200" s="110"/>
      <c r="V200" s="110"/>
      <c r="W200" s="110"/>
    </row>
    <row r="201" ht="15.75" customHeight="1">
      <c r="A201" s="85" t="str">
        <f t="shared" si="58"/>
        <v>Channa</v>
      </c>
      <c r="B201" s="85"/>
      <c r="C201" s="115">
        <v>25.0</v>
      </c>
      <c r="D201" s="116" t="str">
        <f t="shared" ref="D201:J201" si="62">C66*$C201*D$124</f>
        <v>  -   </v>
      </c>
      <c r="E201" s="116" t="str">
        <f t="shared" si="62"/>
        <v>  -   </v>
      </c>
      <c r="F201" s="116" t="str">
        <f t="shared" si="62"/>
        <v>  -   </v>
      </c>
      <c r="G201" s="116" t="str">
        <f t="shared" si="62"/>
        <v>  -   </v>
      </c>
      <c r="H201" s="116" t="str">
        <f t="shared" si="62"/>
        <v>  -   </v>
      </c>
      <c r="I201" s="116" t="str">
        <f t="shared" si="62"/>
        <v>  -   </v>
      </c>
      <c r="J201" s="116" t="str">
        <f t="shared" si="62"/>
        <v>  -   </v>
      </c>
      <c r="K201" s="110"/>
      <c r="L201" s="110"/>
      <c r="M201" s="110"/>
      <c r="N201" s="110"/>
      <c r="O201" s="110"/>
      <c r="P201" s="110"/>
      <c r="Q201" s="110"/>
      <c r="R201" s="110"/>
      <c r="S201" s="110"/>
      <c r="T201" s="110"/>
      <c r="U201" s="110"/>
      <c r="V201" s="110"/>
      <c r="W201" s="110"/>
    </row>
    <row r="202" ht="15.75" customHeight="1">
      <c r="A202" s="85" t="str">
        <f t="shared" si="58"/>
        <v>Udid</v>
      </c>
      <c r="B202" s="85"/>
      <c r="C202" s="115">
        <v>70.0</v>
      </c>
      <c r="D202" s="116" t="str">
        <f t="shared" ref="D202:J202" si="63">C67*$C202*D$124</f>
        <v>  -   </v>
      </c>
      <c r="E202" s="116" t="str">
        <f t="shared" si="63"/>
        <v>  -   </v>
      </c>
      <c r="F202" s="116" t="str">
        <f t="shared" si="63"/>
        <v>  -   </v>
      </c>
      <c r="G202" s="116" t="str">
        <f t="shared" si="63"/>
        <v>  -   </v>
      </c>
      <c r="H202" s="116" t="str">
        <f t="shared" si="63"/>
        <v>  -   </v>
      </c>
      <c r="I202" s="116" t="str">
        <f t="shared" si="63"/>
        <v>  -   </v>
      </c>
      <c r="J202" s="116" t="str">
        <f t="shared" si="63"/>
        <v>  -   </v>
      </c>
      <c r="K202" s="110"/>
      <c r="L202" s="110"/>
      <c r="M202" s="110"/>
      <c r="N202" s="110"/>
      <c r="O202" s="110"/>
      <c r="P202" s="110"/>
      <c r="Q202" s="110"/>
      <c r="R202" s="110"/>
      <c r="S202" s="110"/>
      <c r="T202" s="110"/>
      <c r="U202" s="110"/>
      <c r="V202" s="110"/>
      <c r="W202" s="110"/>
    </row>
    <row r="203" ht="15.75" customHeight="1">
      <c r="A203" s="85" t="str">
        <f t="shared" si="58"/>
        <v>Bajra</v>
      </c>
      <c r="B203" s="85"/>
      <c r="C203" s="115">
        <v>25.0</v>
      </c>
      <c r="D203" s="116" t="str">
        <f t="shared" ref="D203:J203" si="64">C68*$C203*D$124</f>
        <v>  -   </v>
      </c>
      <c r="E203" s="116" t="str">
        <f t="shared" si="64"/>
        <v>  -   </v>
      </c>
      <c r="F203" s="116" t="str">
        <f t="shared" si="64"/>
        <v>  -   </v>
      </c>
      <c r="G203" s="116" t="str">
        <f t="shared" si="64"/>
        <v>  -   </v>
      </c>
      <c r="H203" s="116" t="str">
        <f t="shared" si="64"/>
        <v>  -   </v>
      </c>
      <c r="I203" s="116" t="str">
        <f t="shared" si="64"/>
        <v>  -   </v>
      </c>
      <c r="J203" s="116" t="str">
        <f t="shared" si="64"/>
        <v>  -   </v>
      </c>
      <c r="K203" s="110"/>
      <c r="L203" s="110"/>
      <c r="M203" s="110"/>
      <c r="N203" s="110"/>
      <c r="O203" s="110"/>
      <c r="P203" s="110"/>
      <c r="Q203" s="110"/>
      <c r="R203" s="110"/>
      <c r="S203" s="110"/>
      <c r="T203" s="110"/>
      <c r="U203" s="110"/>
      <c r="V203" s="110"/>
      <c r="W203" s="110"/>
    </row>
    <row r="204" ht="15.75" customHeight="1">
      <c r="A204" s="85" t="str">
        <f t="shared" si="58"/>
        <v>Jawar</v>
      </c>
      <c r="B204" s="85"/>
      <c r="C204" s="115">
        <v>25.0</v>
      </c>
      <c r="D204" s="116" t="str">
        <f t="shared" ref="D204:J204" si="65">C69*$C204*D$124</f>
        <v>  -   </v>
      </c>
      <c r="E204" s="116" t="str">
        <f t="shared" si="65"/>
        <v>  -   </v>
      </c>
      <c r="F204" s="116" t="str">
        <f t="shared" si="65"/>
        <v>  -   </v>
      </c>
      <c r="G204" s="116" t="str">
        <f t="shared" si="65"/>
        <v>  -   </v>
      </c>
      <c r="H204" s="116" t="str">
        <f t="shared" si="65"/>
        <v>  -   </v>
      </c>
      <c r="I204" s="116" t="str">
        <f t="shared" si="65"/>
        <v>  -   </v>
      </c>
      <c r="J204" s="116" t="str">
        <f t="shared" si="65"/>
        <v>  -   </v>
      </c>
      <c r="K204" s="110"/>
      <c r="L204" s="110"/>
      <c r="M204" s="110"/>
      <c r="N204" s="110"/>
      <c r="O204" s="110"/>
      <c r="P204" s="110"/>
      <c r="Q204" s="110"/>
      <c r="R204" s="110"/>
      <c r="S204" s="110"/>
      <c r="T204" s="110"/>
      <c r="U204" s="110"/>
      <c r="V204" s="110"/>
      <c r="W204" s="110"/>
    </row>
    <row r="205" ht="15.75" customHeight="1">
      <c r="A205" s="117" t="str">
        <f t="shared" si="58"/>
        <v>Rabi Crop</v>
      </c>
      <c r="B205" s="85"/>
      <c r="C205" s="115"/>
      <c r="D205" s="116" t="str">
        <f t="shared" ref="D205:J205" si="66">C70*$C205*D$124</f>
        <v>  -   </v>
      </c>
      <c r="E205" s="116" t="str">
        <f t="shared" si="66"/>
        <v>  -   </v>
      </c>
      <c r="F205" s="116" t="str">
        <f t="shared" si="66"/>
        <v>  -   </v>
      </c>
      <c r="G205" s="116" t="str">
        <f t="shared" si="66"/>
        <v>  -   </v>
      </c>
      <c r="H205" s="116" t="str">
        <f t="shared" si="66"/>
        <v>  -   </v>
      </c>
      <c r="I205" s="116" t="str">
        <f t="shared" si="66"/>
        <v>  -   </v>
      </c>
      <c r="J205" s="116" t="str">
        <f t="shared" si="66"/>
        <v>  -   </v>
      </c>
      <c r="K205" s="110"/>
      <c r="L205" s="110"/>
      <c r="M205" s="110"/>
      <c r="N205" s="110"/>
      <c r="O205" s="110"/>
      <c r="P205" s="110"/>
      <c r="Q205" s="110"/>
      <c r="R205" s="110"/>
      <c r="S205" s="110"/>
      <c r="T205" s="110"/>
      <c r="U205" s="110"/>
      <c r="V205" s="110"/>
      <c r="W205" s="110"/>
    </row>
    <row r="206" ht="15.75" customHeight="1">
      <c r="A206" s="85" t="str">
        <f t="shared" si="58"/>
        <v>Wheat</v>
      </c>
      <c r="B206" s="85"/>
      <c r="C206" s="115">
        <v>35.0</v>
      </c>
      <c r="D206" s="116" t="str">
        <f t="shared" ref="D206:J206" si="67">C71*$C206*D$124</f>
        <v>  -   </v>
      </c>
      <c r="E206" s="116" t="str">
        <f t="shared" si="67"/>
        <v>  -   </v>
      </c>
      <c r="F206" s="116" t="str">
        <f t="shared" si="67"/>
        <v>  -   </v>
      </c>
      <c r="G206" s="116" t="str">
        <f t="shared" si="67"/>
        <v>  -   </v>
      </c>
      <c r="H206" s="116" t="str">
        <f t="shared" si="67"/>
        <v>  -   </v>
      </c>
      <c r="I206" s="116" t="str">
        <f t="shared" si="67"/>
        <v>  -   </v>
      </c>
      <c r="J206" s="116" t="str">
        <f t="shared" si="67"/>
        <v>  -   </v>
      </c>
      <c r="K206" s="110"/>
      <c r="L206" s="110"/>
      <c r="M206" s="110"/>
      <c r="N206" s="110"/>
      <c r="O206" s="110"/>
      <c r="P206" s="110"/>
      <c r="Q206" s="110"/>
      <c r="R206" s="110"/>
      <c r="S206" s="110"/>
      <c r="T206" s="110"/>
      <c r="U206" s="110"/>
      <c r="V206" s="110"/>
      <c r="W206" s="110"/>
    </row>
    <row r="207" ht="15.75" customHeight="1">
      <c r="A207" s="85" t="str">
        <f t="shared" si="58"/>
        <v>Channa</v>
      </c>
      <c r="B207" s="85"/>
      <c r="C207" s="115">
        <v>70.0</v>
      </c>
      <c r="D207" s="116" t="str">
        <f t="shared" ref="D207:J207" si="68">C72*$C207*D$124</f>
        <v>  -   </v>
      </c>
      <c r="E207" s="116" t="str">
        <f t="shared" si="68"/>
        <v>  -   </v>
      </c>
      <c r="F207" s="116" t="str">
        <f t="shared" si="68"/>
        <v>  -   </v>
      </c>
      <c r="G207" s="116" t="str">
        <f t="shared" si="68"/>
        <v>  -   </v>
      </c>
      <c r="H207" s="116" t="str">
        <f t="shared" si="68"/>
        <v>  -   </v>
      </c>
      <c r="I207" s="116" t="str">
        <f t="shared" si="68"/>
        <v>  -   </v>
      </c>
      <c r="J207" s="116" t="str">
        <f t="shared" si="68"/>
        <v>  -   </v>
      </c>
      <c r="K207" s="110"/>
      <c r="L207" s="110"/>
      <c r="M207" s="110"/>
      <c r="N207" s="110"/>
      <c r="O207" s="110"/>
      <c r="P207" s="110"/>
      <c r="Q207" s="110"/>
      <c r="R207" s="110"/>
      <c r="S207" s="110"/>
      <c r="T207" s="110"/>
      <c r="U207" s="110"/>
      <c r="V207" s="110"/>
      <c r="W207" s="110"/>
    </row>
    <row r="208" ht="15.75" customHeight="1">
      <c r="A208" s="85" t="str">
        <f t="shared" si="58"/>
        <v>Jawar</v>
      </c>
      <c r="B208" s="85"/>
      <c r="C208" s="115">
        <v>25.0</v>
      </c>
      <c r="D208" s="116" t="str">
        <f t="shared" ref="D208:J208" si="69">C73*$C208*D$124</f>
        <v>  -   </v>
      </c>
      <c r="E208" s="116" t="str">
        <f t="shared" si="69"/>
        <v>  -   </v>
      </c>
      <c r="F208" s="116" t="str">
        <f t="shared" si="69"/>
        <v>  -   </v>
      </c>
      <c r="G208" s="116" t="str">
        <f t="shared" si="69"/>
        <v>  -   </v>
      </c>
      <c r="H208" s="116" t="str">
        <f t="shared" si="69"/>
        <v>  -   </v>
      </c>
      <c r="I208" s="116" t="str">
        <f t="shared" si="69"/>
        <v>  -   </v>
      </c>
      <c r="J208" s="116" t="str">
        <f t="shared" si="69"/>
        <v>  -   </v>
      </c>
      <c r="K208" s="110"/>
      <c r="L208" s="110"/>
      <c r="M208" s="110"/>
      <c r="N208" s="110"/>
      <c r="O208" s="110"/>
      <c r="P208" s="110"/>
      <c r="Q208" s="110"/>
      <c r="R208" s="110"/>
      <c r="S208" s="110"/>
      <c r="T208" s="110"/>
      <c r="U208" s="110"/>
      <c r="V208" s="110"/>
      <c r="W208" s="110"/>
    </row>
    <row r="209" ht="15.75" customHeight="1">
      <c r="A209" s="85" t="str">
        <f t="shared" si="58"/>
        <v>Maize</v>
      </c>
      <c r="B209" s="85"/>
      <c r="C209" s="115">
        <v>25.0</v>
      </c>
      <c r="D209" s="116" t="str">
        <f t="shared" ref="D209:J209" si="70">C74*$C209*D$124</f>
        <v>  -   </v>
      </c>
      <c r="E209" s="116" t="str">
        <f t="shared" si="70"/>
        <v>  -   </v>
      </c>
      <c r="F209" s="116" t="str">
        <f t="shared" si="70"/>
        <v>  -   </v>
      </c>
      <c r="G209" s="116" t="str">
        <f t="shared" si="70"/>
        <v>  -   </v>
      </c>
      <c r="H209" s="116" t="str">
        <f t="shared" si="70"/>
        <v>  -   </v>
      </c>
      <c r="I209" s="116" t="str">
        <f t="shared" si="70"/>
        <v>  -   </v>
      </c>
      <c r="J209" s="116" t="str">
        <f t="shared" si="70"/>
        <v>  -   </v>
      </c>
      <c r="K209" s="110"/>
      <c r="L209" s="110"/>
      <c r="M209" s="110"/>
      <c r="N209" s="110"/>
      <c r="O209" s="110"/>
      <c r="P209" s="110"/>
      <c r="Q209" s="110"/>
      <c r="R209" s="110"/>
      <c r="S209" s="110"/>
      <c r="T209" s="110"/>
      <c r="U209" s="110"/>
      <c r="V209" s="110"/>
      <c r="W209" s="110"/>
    </row>
    <row r="210" ht="15.75" customHeight="1">
      <c r="A210" s="85" t="str">
        <f t="shared" si="58"/>
        <v>Safflower</v>
      </c>
      <c r="B210" s="85"/>
      <c r="C210" s="115">
        <v>25.0</v>
      </c>
      <c r="D210" s="116" t="str">
        <f t="shared" ref="D210:J210" si="71">C75*$C210*D$124</f>
        <v>  -   </v>
      </c>
      <c r="E210" s="116" t="str">
        <f t="shared" si="71"/>
        <v>  -   </v>
      </c>
      <c r="F210" s="116" t="str">
        <f t="shared" si="71"/>
        <v>  -   </v>
      </c>
      <c r="G210" s="116" t="str">
        <f t="shared" si="71"/>
        <v>  -   </v>
      </c>
      <c r="H210" s="116" t="str">
        <f t="shared" si="71"/>
        <v>  -   </v>
      </c>
      <c r="I210" s="116" t="str">
        <f t="shared" si="71"/>
        <v>  -   </v>
      </c>
      <c r="J210" s="116" t="str">
        <f t="shared" si="71"/>
        <v>  -   </v>
      </c>
      <c r="K210" s="110"/>
      <c r="L210" s="110"/>
      <c r="M210" s="110"/>
      <c r="N210" s="110"/>
      <c r="O210" s="110"/>
      <c r="P210" s="110"/>
      <c r="Q210" s="110"/>
      <c r="R210" s="110"/>
      <c r="S210" s="110"/>
      <c r="T210" s="110"/>
      <c r="U210" s="110"/>
      <c r="V210" s="110"/>
      <c r="W210" s="110"/>
    </row>
    <row r="211" ht="15.75" customHeight="1">
      <c r="A211" s="85" t="str">
        <f t="shared" si="58"/>
        <v>Groundnut</v>
      </c>
      <c r="B211" s="85"/>
      <c r="C211" s="115"/>
      <c r="D211" s="116" t="str">
        <f t="shared" ref="D211:J211" si="72">C76*$C211*D$124</f>
        <v>  -   </v>
      </c>
      <c r="E211" s="116" t="str">
        <f t="shared" si="72"/>
        <v>  -   </v>
      </c>
      <c r="F211" s="116" t="str">
        <f t="shared" si="72"/>
        <v>  -   </v>
      </c>
      <c r="G211" s="116" t="str">
        <f t="shared" si="72"/>
        <v>  -   </v>
      </c>
      <c r="H211" s="116" t="str">
        <f t="shared" si="72"/>
        <v>  -   </v>
      </c>
      <c r="I211" s="116" t="str">
        <f t="shared" si="72"/>
        <v>  -   </v>
      </c>
      <c r="J211" s="116" t="str">
        <f t="shared" si="72"/>
        <v>  -   </v>
      </c>
      <c r="K211" s="110"/>
      <c r="L211" s="110"/>
      <c r="M211" s="110"/>
      <c r="N211" s="110"/>
      <c r="O211" s="110"/>
      <c r="P211" s="110"/>
      <c r="Q211" s="110"/>
      <c r="R211" s="110"/>
      <c r="S211" s="110"/>
      <c r="T211" s="110"/>
      <c r="U211" s="110"/>
      <c r="V211" s="110"/>
      <c r="W211" s="110"/>
    </row>
    <row r="212" ht="15.75" customHeight="1">
      <c r="A212" s="85" t="str">
        <f t="shared" si="58"/>
        <v/>
      </c>
      <c r="B212" s="85"/>
      <c r="C212" s="115"/>
      <c r="D212" s="116" t="str">
        <f t="shared" ref="D212:J212" si="73">C77*$C212*D$124</f>
        <v>  -   </v>
      </c>
      <c r="E212" s="116" t="str">
        <f t="shared" si="73"/>
        <v>  -   </v>
      </c>
      <c r="F212" s="116" t="str">
        <f t="shared" si="73"/>
        <v>  -   </v>
      </c>
      <c r="G212" s="116" t="str">
        <f t="shared" si="73"/>
        <v>  -   </v>
      </c>
      <c r="H212" s="116" t="str">
        <f t="shared" si="73"/>
        <v>  -   </v>
      </c>
      <c r="I212" s="116" t="str">
        <f t="shared" si="73"/>
        <v>  -   </v>
      </c>
      <c r="J212" s="116" t="str">
        <f t="shared" si="73"/>
        <v>  -   </v>
      </c>
      <c r="K212" s="110"/>
      <c r="L212" s="110"/>
      <c r="M212" s="110"/>
      <c r="N212" s="110"/>
      <c r="O212" s="110"/>
      <c r="P212" s="110"/>
      <c r="Q212" s="110"/>
      <c r="R212" s="110"/>
      <c r="S212" s="110"/>
      <c r="T212" s="110"/>
      <c r="U212" s="110"/>
      <c r="V212" s="110"/>
      <c r="W212" s="110"/>
    </row>
    <row r="213" ht="15.75" customHeight="1">
      <c r="A213" s="85" t="str">
        <f t="shared" si="58"/>
        <v/>
      </c>
      <c r="B213" s="85"/>
      <c r="C213" s="115"/>
      <c r="D213" s="116" t="str">
        <f t="shared" ref="D213:J213" si="74">C78*$C213*D$124</f>
        <v>  -   </v>
      </c>
      <c r="E213" s="116" t="str">
        <f t="shared" si="74"/>
        <v>  -   </v>
      </c>
      <c r="F213" s="116" t="str">
        <f t="shared" si="74"/>
        <v>  -   </v>
      </c>
      <c r="G213" s="116" t="str">
        <f t="shared" si="74"/>
        <v>  -   </v>
      </c>
      <c r="H213" s="116" t="str">
        <f t="shared" si="74"/>
        <v>  -   </v>
      </c>
      <c r="I213" s="116" t="str">
        <f t="shared" si="74"/>
        <v>  -   </v>
      </c>
      <c r="J213" s="116" t="str">
        <f t="shared" si="74"/>
        <v>  -   </v>
      </c>
      <c r="K213" s="110"/>
      <c r="L213" s="110"/>
      <c r="M213" s="110"/>
      <c r="N213" s="110"/>
      <c r="O213" s="110"/>
      <c r="P213" s="110"/>
      <c r="Q213" s="110"/>
      <c r="R213" s="110"/>
      <c r="S213" s="110"/>
      <c r="T213" s="110"/>
      <c r="U213" s="110"/>
      <c r="V213" s="110"/>
      <c r="W213" s="110"/>
    </row>
    <row r="214" ht="15.75" customHeight="1">
      <c r="A214" s="85" t="str">
        <f t="shared" si="58"/>
        <v>Summer</v>
      </c>
      <c r="B214" s="85"/>
      <c r="C214" s="115"/>
      <c r="D214" s="116" t="str">
        <f t="shared" ref="D214:J214" si="75">C79*$C214*D$124</f>
        <v>  -   </v>
      </c>
      <c r="E214" s="116" t="str">
        <f t="shared" si="75"/>
        <v>  -   </v>
      </c>
      <c r="F214" s="116" t="str">
        <f t="shared" si="75"/>
        <v>  -   </v>
      </c>
      <c r="G214" s="116" t="str">
        <f t="shared" si="75"/>
        <v>  -   </v>
      </c>
      <c r="H214" s="116" t="str">
        <f t="shared" si="75"/>
        <v>  -   </v>
      </c>
      <c r="I214" s="116" t="str">
        <f t="shared" si="75"/>
        <v>  -   </v>
      </c>
      <c r="J214" s="116" t="str">
        <f t="shared" si="75"/>
        <v>  -   </v>
      </c>
      <c r="K214" s="110"/>
      <c r="L214" s="110"/>
      <c r="M214" s="110"/>
      <c r="N214" s="110"/>
      <c r="O214" s="110"/>
      <c r="P214" s="110"/>
      <c r="Q214" s="110"/>
      <c r="R214" s="110"/>
      <c r="S214" s="110"/>
      <c r="T214" s="110"/>
      <c r="U214" s="110"/>
      <c r="V214" s="110"/>
      <c r="W214" s="110"/>
    </row>
    <row r="215" ht="15.75" customHeight="1">
      <c r="A215" s="85" t="str">
        <f t="shared" si="58"/>
        <v>Soybean</v>
      </c>
      <c r="B215" s="85"/>
      <c r="C215" s="115"/>
      <c r="D215" s="116" t="str">
        <f t="shared" ref="D215:J215" si="76">C80*$C215*D$124</f>
        <v>  -   </v>
      </c>
      <c r="E215" s="116" t="str">
        <f t="shared" si="76"/>
        <v>  -   </v>
      </c>
      <c r="F215" s="116" t="str">
        <f t="shared" si="76"/>
        <v>  -   </v>
      </c>
      <c r="G215" s="116" t="str">
        <f t="shared" si="76"/>
        <v>  -   </v>
      </c>
      <c r="H215" s="116" t="str">
        <f t="shared" si="76"/>
        <v>  -   </v>
      </c>
      <c r="I215" s="116" t="str">
        <f t="shared" si="76"/>
        <v>  -   </v>
      </c>
      <c r="J215" s="116" t="str">
        <f t="shared" si="76"/>
        <v>  -   </v>
      </c>
      <c r="K215" s="110"/>
      <c r="L215" s="110"/>
      <c r="M215" s="110"/>
      <c r="N215" s="110"/>
      <c r="O215" s="110"/>
      <c r="P215" s="110"/>
      <c r="Q215" s="110"/>
      <c r="R215" s="110"/>
      <c r="S215" s="110"/>
      <c r="T215" s="110"/>
      <c r="U215" s="110"/>
      <c r="V215" s="110"/>
      <c r="W215" s="110"/>
    </row>
    <row r="216" ht="15.75" customHeight="1">
      <c r="A216" s="85" t="str">
        <f t="shared" si="58"/>
        <v/>
      </c>
      <c r="B216" s="85"/>
      <c r="C216" s="115"/>
      <c r="D216" s="116" t="str">
        <f t="shared" ref="D216:J216" si="77">C81*$C216*D$124</f>
        <v>  -   </v>
      </c>
      <c r="E216" s="116" t="str">
        <f t="shared" si="77"/>
        <v>  -   </v>
      </c>
      <c r="F216" s="116" t="str">
        <f t="shared" si="77"/>
        <v>  -   </v>
      </c>
      <c r="G216" s="116" t="str">
        <f t="shared" si="77"/>
        <v>  -   </v>
      </c>
      <c r="H216" s="116" t="str">
        <f t="shared" si="77"/>
        <v>  -   </v>
      </c>
      <c r="I216" s="116" t="str">
        <f t="shared" si="77"/>
        <v>  -   </v>
      </c>
      <c r="J216" s="116" t="str">
        <f t="shared" si="77"/>
        <v>  -   </v>
      </c>
      <c r="K216" s="110"/>
      <c r="L216" s="110"/>
      <c r="M216" s="110"/>
      <c r="N216" s="110"/>
      <c r="O216" s="110"/>
      <c r="P216" s="110"/>
      <c r="Q216" s="110"/>
      <c r="R216" s="110"/>
      <c r="S216" s="110"/>
      <c r="T216" s="110"/>
      <c r="U216" s="110"/>
      <c r="V216" s="110"/>
      <c r="W216" s="110"/>
    </row>
    <row r="217" ht="15.75" customHeight="1">
      <c r="A217" s="85" t="str">
        <f t="shared" si="58"/>
        <v/>
      </c>
      <c r="B217" s="85"/>
      <c r="C217" s="115"/>
      <c r="D217" s="116" t="str">
        <f t="shared" ref="D217:J217" si="78">C82*$C217*D$124</f>
        <v>  -   </v>
      </c>
      <c r="E217" s="116" t="str">
        <f t="shared" si="78"/>
        <v>  -   </v>
      </c>
      <c r="F217" s="116" t="str">
        <f t="shared" si="78"/>
        <v>  -   </v>
      </c>
      <c r="G217" s="116" t="str">
        <f t="shared" si="78"/>
        <v>  -   </v>
      </c>
      <c r="H217" s="116" t="str">
        <f t="shared" si="78"/>
        <v>  -   </v>
      </c>
      <c r="I217" s="116" t="str">
        <f t="shared" si="78"/>
        <v>  -   </v>
      </c>
      <c r="J217" s="116" t="str">
        <f t="shared" si="78"/>
        <v>  -   </v>
      </c>
      <c r="K217" s="110"/>
      <c r="L217" s="110"/>
      <c r="M217" s="110"/>
      <c r="N217" s="110"/>
      <c r="O217" s="110"/>
      <c r="P217" s="110"/>
      <c r="Q217" s="110"/>
      <c r="R217" s="110"/>
      <c r="S217" s="110"/>
      <c r="T217" s="110"/>
      <c r="U217" s="110"/>
      <c r="V217" s="110"/>
      <c r="W217" s="110"/>
    </row>
    <row r="218" ht="15.75" customHeight="1">
      <c r="A218" s="85" t="str">
        <f t="shared" si="58"/>
        <v/>
      </c>
      <c r="B218" s="85"/>
      <c r="C218" s="115"/>
      <c r="D218" s="116" t="str">
        <f t="shared" ref="D218:J218" si="79">C83*$C218*D$124</f>
        <v>  -   </v>
      </c>
      <c r="E218" s="116" t="str">
        <f t="shared" si="79"/>
        <v>  -   </v>
      </c>
      <c r="F218" s="116" t="str">
        <f t="shared" si="79"/>
        <v>  -   </v>
      </c>
      <c r="G218" s="116" t="str">
        <f t="shared" si="79"/>
        <v>  -   </v>
      </c>
      <c r="H218" s="116" t="str">
        <f t="shared" si="79"/>
        <v>  -   </v>
      </c>
      <c r="I218" s="116" t="str">
        <f t="shared" si="79"/>
        <v>  -   </v>
      </c>
      <c r="J218" s="116" t="str">
        <f t="shared" si="79"/>
        <v>  -   </v>
      </c>
      <c r="K218" s="110"/>
      <c r="L218" s="110"/>
      <c r="M218" s="110"/>
      <c r="N218" s="110"/>
      <c r="O218" s="110"/>
      <c r="P218" s="110"/>
      <c r="Q218" s="110"/>
      <c r="R218" s="110"/>
      <c r="S218" s="110"/>
      <c r="T218" s="110"/>
      <c r="U218" s="110"/>
      <c r="V218" s="110"/>
      <c r="W218" s="110"/>
    </row>
    <row r="219" ht="15.75" customHeight="1">
      <c r="A219" s="85" t="str">
        <f t="shared" si="58"/>
        <v/>
      </c>
      <c r="B219" s="85"/>
      <c r="C219" s="115"/>
      <c r="D219" s="116" t="str">
        <f t="shared" ref="D219:J219" si="80">C84*$C219*D$124</f>
        <v>  -   </v>
      </c>
      <c r="E219" s="116" t="str">
        <f t="shared" si="80"/>
        <v>  -   </v>
      </c>
      <c r="F219" s="116" t="str">
        <f t="shared" si="80"/>
        <v>  -   </v>
      </c>
      <c r="G219" s="116" t="str">
        <f t="shared" si="80"/>
        <v>  -   </v>
      </c>
      <c r="H219" s="116" t="str">
        <f t="shared" si="80"/>
        <v>  -   </v>
      </c>
      <c r="I219" s="116" t="str">
        <f t="shared" si="80"/>
        <v>  -   </v>
      </c>
      <c r="J219" s="116" t="str">
        <f t="shared" si="80"/>
        <v>  -   </v>
      </c>
      <c r="K219" s="110"/>
      <c r="L219" s="110"/>
      <c r="M219" s="110"/>
      <c r="N219" s="110"/>
      <c r="O219" s="110"/>
      <c r="P219" s="110"/>
      <c r="Q219" s="110"/>
      <c r="R219" s="110"/>
      <c r="S219" s="110"/>
      <c r="T219" s="110"/>
      <c r="U219" s="110"/>
      <c r="V219" s="110"/>
      <c r="W219" s="110"/>
    </row>
    <row r="220" ht="15.75" customHeight="1">
      <c r="A220" s="85" t="str">
        <f t="shared" si="58"/>
        <v>Fruit  &amp; Vegetables Crop Production Details</v>
      </c>
      <c r="B220" s="85"/>
      <c r="C220" s="116"/>
      <c r="D220" s="116"/>
      <c r="E220" s="116"/>
      <c r="F220" s="116"/>
      <c r="G220" s="116"/>
      <c r="H220" s="116"/>
      <c r="I220" s="116"/>
      <c r="J220" s="116"/>
      <c r="K220" s="110"/>
      <c r="L220" s="110"/>
      <c r="M220" s="110"/>
      <c r="N220" s="110"/>
      <c r="O220" s="110"/>
      <c r="P220" s="110"/>
      <c r="Q220" s="110"/>
      <c r="R220" s="110"/>
      <c r="S220" s="110"/>
      <c r="T220" s="110"/>
      <c r="U220" s="110"/>
      <c r="V220" s="110"/>
      <c r="W220" s="110"/>
    </row>
    <row r="221" ht="15.75" customHeight="1">
      <c r="A221" s="85" t="str">
        <f t="shared" si="58"/>
        <v>Onion</v>
      </c>
      <c r="B221" s="85"/>
      <c r="C221" s="115"/>
      <c r="D221" s="116" t="str">
        <f t="shared" ref="D221:J221" si="81">C86*$C221*D$124</f>
        <v>  -   </v>
      </c>
      <c r="E221" s="116" t="str">
        <f t="shared" si="81"/>
        <v>  -   </v>
      </c>
      <c r="F221" s="116" t="str">
        <f t="shared" si="81"/>
        <v>  -   </v>
      </c>
      <c r="G221" s="116" t="str">
        <f t="shared" si="81"/>
        <v>  -   </v>
      </c>
      <c r="H221" s="116" t="str">
        <f t="shared" si="81"/>
        <v>  -   </v>
      </c>
      <c r="I221" s="116" t="str">
        <f t="shared" si="81"/>
        <v>  -   </v>
      </c>
      <c r="J221" s="116" t="str">
        <f t="shared" si="81"/>
        <v>  -   </v>
      </c>
      <c r="K221" s="110"/>
      <c r="L221" s="110"/>
      <c r="M221" s="110"/>
      <c r="N221" s="110"/>
      <c r="O221" s="110"/>
      <c r="P221" s="110"/>
      <c r="Q221" s="110"/>
      <c r="R221" s="110"/>
      <c r="S221" s="110"/>
      <c r="T221" s="110"/>
      <c r="U221" s="110"/>
      <c r="V221" s="110"/>
      <c r="W221" s="110"/>
    </row>
    <row r="222" ht="15.75" customHeight="1">
      <c r="A222" s="85" t="str">
        <f t="shared" si="58"/>
        <v>Tomato</v>
      </c>
      <c r="B222" s="85"/>
      <c r="C222" s="115"/>
      <c r="D222" s="116" t="str">
        <f t="shared" ref="D222:J222" si="82">C87*$C222*D$124</f>
        <v>  -   </v>
      </c>
      <c r="E222" s="116" t="str">
        <f t="shared" si="82"/>
        <v>  -   </v>
      </c>
      <c r="F222" s="116" t="str">
        <f t="shared" si="82"/>
        <v>  -   </v>
      </c>
      <c r="G222" s="116" t="str">
        <f t="shared" si="82"/>
        <v>  -   </v>
      </c>
      <c r="H222" s="116" t="str">
        <f t="shared" si="82"/>
        <v>  -   </v>
      </c>
      <c r="I222" s="116" t="str">
        <f t="shared" si="82"/>
        <v>  -   </v>
      </c>
      <c r="J222" s="116" t="str">
        <f t="shared" si="82"/>
        <v>  -   </v>
      </c>
      <c r="K222" s="110"/>
      <c r="L222" s="110"/>
      <c r="M222" s="110"/>
      <c r="N222" s="110"/>
      <c r="O222" s="110"/>
      <c r="P222" s="110"/>
      <c r="Q222" s="110"/>
      <c r="R222" s="110"/>
      <c r="S222" s="110"/>
      <c r="T222" s="110"/>
      <c r="U222" s="110"/>
      <c r="V222" s="110"/>
      <c r="W222" s="110"/>
    </row>
    <row r="223" ht="15.75" customHeight="1">
      <c r="A223" s="85" t="str">
        <f t="shared" si="58"/>
        <v>Okra</v>
      </c>
      <c r="B223" s="85"/>
      <c r="C223" s="115"/>
      <c r="D223" s="116" t="str">
        <f t="shared" ref="D223:J223" si="83">C88*$C223*D$124</f>
        <v>  -   </v>
      </c>
      <c r="E223" s="116" t="str">
        <f t="shared" si="83"/>
        <v>  -   </v>
      </c>
      <c r="F223" s="116" t="str">
        <f t="shared" si="83"/>
        <v>  -   </v>
      </c>
      <c r="G223" s="116" t="str">
        <f t="shared" si="83"/>
        <v>  -   </v>
      </c>
      <c r="H223" s="116" t="str">
        <f t="shared" si="83"/>
        <v>  -   </v>
      </c>
      <c r="I223" s="116" t="str">
        <f t="shared" si="83"/>
        <v>  -   </v>
      </c>
      <c r="J223" s="116" t="str">
        <f t="shared" si="83"/>
        <v>  -   </v>
      </c>
      <c r="K223" s="110"/>
      <c r="L223" s="110"/>
      <c r="M223" s="110"/>
      <c r="N223" s="110"/>
      <c r="O223" s="110"/>
      <c r="P223" s="110"/>
      <c r="Q223" s="110"/>
      <c r="R223" s="110"/>
      <c r="S223" s="110"/>
      <c r="T223" s="110"/>
      <c r="U223" s="110"/>
      <c r="V223" s="110"/>
      <c r="W223" s="110"/>
    </row>
    <row r="224" ht="15.75" customHeight="1">
      <c r="A224" s="85" t="str">
        <f t="shared" si="58"/>
        <v>Chilli</v>
      </c>
      <c r="B224" s="85"/>
      <c r="C224" s="115"/>
      <c r="D224" s="116" t="str">
        <f t="shared" ref="D224:J224" si="84">C89*$C224*D$124</f>
        <v>  -   </v>
      </c>
      <c r="E224" s="116" t="str">
        <f t="shared" si="84"/>
        <v>  -   </v>
      </c>
      <c r="F224" s="116" t="str">
        <f t="shared" si="84"/>
        <v>  -   </v>
      </c>
      <c r="G224" s="116" t="str">
        <f t="shared" si="84"/>
        <v>  -   </v>
      </c>
      <c r="H224" s="116" t="str">
        <f t="shared" si="84"/>
        <v>  -   </v>
      </c>
      <c r="I224" s="116" t="str">
        <f t="shared" si="84"/>
        <v>  -   </v>
      </c>
      <c r="J224" s="116" t="str">
        <f t="shared" si="84"/>
        <v>  -   </v>
      </c>
      <c r="K224" s="110"/>
      <c r="L224" s="110"/>
      <c r="M224" s="110"/>
      <c r="N224" s="110"/>
      <c r="O224" s="110"/>
      <c r="P224" s="110"/>
      <c r="Q224" s="110"/>
      <c r="R224" s="110"/>
      <c r="S224" s="110"/>
      <c r="T224" s="110"/>
      <c r="U224" s="110"/>
      <c r="V224" s="110"/>
      <c r="W224" s="110"/>
    </row>
    <row r="225" ht="15.75" customHeight="1">
      <c r="A225" s="85" t="str">
        <f t="shared" si="58"/>
        <v>Potato</v>
      </c>
      <c r="B225" s="85"/>
      <c r="C225" s="115"/>
      <c r="D225" s="116" t="str">
        <f t="shared" ref="D225:J225" si="85">C90*$C225*D$124</f>
        <v>  -   </v>
      </c>
      <c r="E225" s="116" t="str">
        <f t="shared" si="85"/>
        <v>  -   </v>
      </c>
      <c r="F225" s="116" t="str">
        <f t="shared" si="85"/>
        <v>  -   </v>
      </c>
      <c r="G225" s="116" t="str">
        <f t="shared" si="85"/>
        <v>  -   </v>
      </c>
      <c r="H225" s="116" t="str">
        <f t="shared" si="85"/>
        <v>  -   </v>
      </c>
      <c r="I225" s="116" t="str">
        <f t="shared" si="85"/>
        <v>  -   </v>
      </c>
      <c r="J225" s="116" t="str">
        <f t="shared" si="85"/>
        <v>  -   </v>
      </c>
      <c r="K225" s="110"/>
      <c r="L225" s="110"/>
      <c r="M225" s="110"/>
      <c r="N225" s="110"/>
      <c r="O225" s="110"/>
      <c r="P225" s="110"/>
      <c r="Q225" s="110"/>
      <c r="R225" s="110"/>
      <c r="S225" s="110"/>
      <c r="T225" s="110"/>
      <c r="U225" s="110"/>
      <c r="V225" s="110"/>
      <c r="W225" s="110"/>
    </row>
    <row r="226" ht="15.75" customHeight="1">
      <c r="A226" s="85" t="str">
        <f t="shared" si="58"/>
        <v/>
      </c>
      <c r="B226" s="85"/>
      <c r="C226" s="115"/>
      <c r="D226" s="116" t="str">
        <f t="shared" ref="D226:J226" si="86">C91*$C226*D$124</f>
        <v>  -   </v>
      </c>
      <c r="E226" s="116" t="str">
        <f t="shared" si="86"/>
        <v>  -   </v>
      </c>
      <c r="F226" s="116" t="str">
        <f t="shared" si="86"/>
        <v>  -   </v>
      </c>
      <c r="G226" s="116" t="str">
        <f t="shared" si="86"/>
        <v>  -   </v>
      </c>
      <c r="H226" s="116" t="str">
        <f t="shared" si="86"/>
        <v>  -   </v>
      </c>
      <c r="I226" s="116" t="str">
        <f t="shared" si="86"/>
        <v>  -   </v>
      </c>
      <c r="J226" s="116" t="str">
        <f t="shared" si="86"/>
        <v>  -   </v>
      </c>
      <c r="K226" s="110"/>
      <c r="L226" s="110"/>
      <c r="M226" s="110"/>
      <c r="N226" s="110"/>
      <c r="O226" s="110"/>
      <c r="P226" s="110"/>
      <c r="Q226" s="110"/>
      <c r="R226" s="110"/>
      <c r="S226" s="110"/>
      <c r="T226" s="110"/>
      <c r="U226" s="110"/>
      <c r="V226" s="110"/>
      <c r="W226" s="110"/>
    </row>
    <row r="227" ht="15.75" customHeight="1">
      <c r="A227" s="85" t="str">
        <f t="shared" si="58"/>
        <v/>
      </c>
      <c r="B227" s="85"/>
      <c r="C227" s="115"/>
      <c r="D227" s="116" t="str">
        <f t="shared" ref="D227:J227" si="87">C92*$C227*D$124</f>
        <v>  -   </v>
      </c>
      <c r="E227" s="116" t="str">
        <f t="shared" si="87"/>
        <v>  -   </v>
      </c>
      <c r="F227" s="116" t="str">
        <f t="shared" si="87"/>
        <v>  -   </v>
      </c>
      <c r="G227" s="116" t="str">
        <f t="shared" si="87"/>
        <v>  -   </v>
      </c>
      <c r="H227" s="116" t="str">
        <f t="shared" si="87"/>
        <v>  -   </v>
      </c>
      <c r="I227" s="116" t="str">
        <f t="shared" si="87"/>
        <v>  -   </v>
      </c>
      <c r="J227" s="116" t="str">
        <f t="shared" si="87"/>
        <v>  -   </v>
      </c>
      <c r="K227" s="110"/>
      <c r="L227" s="110"/>
      <c r="M227" s="110"/>
      <c r="N227" s="110"/>
      <c r="O227" s="110"/>
      <c r="P227" s="110"/>
      <c r="Q227" s="110"/>
      <c r="R227" s="110"/>
      <c r="S227" s="110"/>
      <c r="T227" s="110"/>
      <c r="U227" s="110"/>
      <c r="V227" s="110"/>
      <c r="W227" s="110"/>
    </row>
    <row r="228" ht="15.75" customHeight="1">
      <c r="A228" s="85" t="str">
        <f t="shared" si="58"/>
        <v/>
      </c>
      <c r="B228" s="85"/>
      <c r="C228" s="115"/>
      <c r="D228" s="116" t="str">
        <f t="shared" ref="D228:J228" si="88">C93*$C228*D$124</f>
        <v>  -   </v>
      </c>
      <c r="E228" s="116" t="str">
        <f t="shared" si="88"/>
        <v>  -   </v>
      </c>
      <c r="F228" s="116" t="str">
        <f t="shared" si="88"/>
        <v>  -   </v>
      </c>
      <c r="G228" s="116" t="str">
        <f t="shared" si="88"/>
        <v>  -   </v>
      </c>
      <c r="H228" s="116" t="str">
        <f t="shared" si="88"/>
        <v>  -   </v>
      </c>
      <c r="I228" s="116" t="str">
        <f t="shared" si="88"/>
        <v>  -   </v>
      </c>
      <c r="J228" s="116" t="str">
        <f t="shared" si="88"/>
        <v>  -   </v>
      </c>
      <c r="K228" s="110"/>
      <c r="L228" s="110"/>
      <c r="M228" s="110"/>
      <c r="N228" s="110"/>
      <c r="O228" s="110"/>
      <c r="P228" s="110"/>
      <c r="Q228" s="110"/>
      <c r="R228" s="110"/>
      <c r="S228" s="110"/>
      <c r="T228" s="110"/>
      <c r="U228" s="110"/>
      <c r="V228" s="110"/>
      <c r="W228" s="110"/>
    </row>
    <row r="229" ht="15.75" customHeight="1">
      <c r="A229" s="85" t="str">
        <f t="shared" si="58"/>
        <v/>
      </c>
      <c r="B229" s="85"/>
      <c r="C229" s="115"/>
      <c r="D229" s="116" t="str">
        <f t="shared" ref="D229:J229" si="89">C94*$C229*D$124</f>
        <v>  -   </v>
      </c>
      <c r="E229" s="116" t="str">
        <f t="shared" si="89"/>
        <v>  -   </v>
      </c>
      <c r="F229" s="116" t="str">
        <f t="shared" si="89"/>
        <v>  -   </v>
      </c>
      <c r="G229" s="116" t="str">
        <f t="shared" si="89"/>
        <v>  -   </v>
      </c>
      <c r="H229" s="116" t="str">
        <f t="shared" si="89"/>
        <v>  -   </v>
      </c>
      <c r="I229" s="116" t="str">
        <f t="shared" si="89"/>
        <v>  -   </v>
      </c>
      <c r="J229" s="116" t="str">
        <f t="shared" si="89"/>
        <v>  -   </v>
      </c>
      <c r="K229" s="110"/>
      <c r="L229" s="110"/>
      <c r="M229" s="110"/>
      <c r="N229" s="110"/>
      <c r="O229" s="110"/>
      <c r="P229" s="110"/>
      <c r="Q229" s="110"/>
      <c r="R229" s="110"/>
      <c r="S229" s="110"/>
      <c r="T229" s="110"/>
      <c r="U229" s="110"/>
      <c r="V229" s="110"/>
      <c r="W229" s="110"/>
    </row>
    <row r="230" ht="15.75" customHeight="1">
      <c r="A230" s="85" t="str">
        <f t="shared" si="58"/>
        <v>Onion</v>
      </c>
      <c r="B230" s="85"/>
      <c r="C230" s="115"/>
      <c r="D230" s="116" t="str">
        <f t="shared" ref="D230:J230" si="90">C95*$C230*D$124</f>
        <v>  -   </v>
      </c>
      <c r="E230" s="116" t="str">
        <f t="shared" si="90"/>
        <v>  -   </v>
      </c>
      <c r="F230" s="116" t="str">
        <f t="shared" si="90"/>
        <v>  -   </v>
      </c>
      <c r="G230" s="116" t="str">
        <f t="shared" si="90"/>
        <v>  -   </v>
      </c>
      <c r="H230" s="116" t="str">
        <f t="shared" si="90"/>
        <v>  -   </v>
      </c>
      <c r="I230" s="116" t="str">
        <f t="shared" si="90"/>
        <v>  -   </v>
      </c>
      <c r="J230" s="116" t="str">
        <f t="shared" si="90"/>
        <v>  -   </v>
      </c>
      <c r="K230" s="110"/>
      <c r="L230" s="110"/>
      <c r="M230" s="110"/>
      <c r="N230" s="110"/>
      <c r="O230" s="110"/>
      <c r="P230" s="110"/>
      <c r="Q230" s="110"/>
      <c r="R230" s="110"/>
      <c r="S230" s="110"/>
      <c r="T230" s="110"/>
      <c r="U230" s="110"/>
      <c r="V230" s="110"/>
      <c r="W230" s="110"/>
    </row>
    <row r="231" ht="15.75" customHeight="1">
      <c r="A231" s="85" t="str">
        <f t="shared" si="58"/>
        <v>Tomato</v>
      </c>
      <c r="B231" s="85"/>
      <c r="C231" s="115"/>
      <c r="D231" s="116" t="str">
        <f t="shared" ref="D231:J231" si="91">C96*$C231*D$124</f>
        <v>  -   </v>
      </c>
      <c r="E231" s="116" t="str">
        <f t="shared" si="91"/>
        <v>  -   </v>
      </c>
      <c r="F231" s="116" t="str">
        <f t="shared" si="91"/>
        <v>  -   </v>
      </c>
      <c r="G231" s="116" t="str">
        <f t="shared" si="91"/>
        <v>  -   </v>
      </c>
      <c r="H231" s="116" t="str">
        <f t="shared" si="91"/>
        <v>  -   </v>
      </c>
      <c r="I231" s="116" t="str">
        <f t="shared" si="91"/>
        <v>  -   </v>
      </c>
      <c r="J231" s="116" t="str">
        <f t="shared" si="91"/>
        <v>  -   </v>
      </c>
      <c r="K231" s="110"/>
      <c r="L231" s="110"/>
      <c r="M231" s="110"/>
      <c r="N231" s="110"/>
      <c r="O231" s="110"/>
      <c r="P231" s="110"/>
      <c r="Q231" s="110"/>
      <c r="R231" s="110"/>
      <c r="S231" s="110"/>
      <c r="T231" s="110"/>
      <c r="U231" s="110"/>
      <c r="V231" s="110"/>
      <c r="W231" s="110"/>
    </row>
    <row r="232" ht="15.75" customHeight="1">
      <c r="A232" s="85" t="str">
        <f t="shared" si="58"/>
        <v>Okra</v>
      </c>
      <c r="B232" s="85"/>
      <c r="C232" s="115"/>
      <c r="D232" s="116" t="str">
        <f t="shared" ref="D232:J232" si="92">C97*$C232*D$124</f>
        <v>  -   </v>
      </c>
      <c r="E232" s="116" t="str">
        <f t="shared" si="92"/>
        <v>  -   </v>
      </c>
      <c r="F232" s="116" t="str">
        <f t="shared" si="92"/>
        <v>  -   </v>
      </c>
      <c r="G232" s="116" t="str">
        <f t="shared" si="92"/>
        <v>  -   </v>
      </c>
      <c r="H232" s="116" t="str">
        <f t="shared" si="92"/>
        <v>  -   </v>
      </c>
      <c r="I232" s="116" t="str">
        <f t="shared" si="92"/>
        <v>  -   </v>
      </c>
      <c r="J232" s="116" t="str">
        <f t="shared" si="92"/>
        <v>  -   </v>
      </c>
      <c r="K232" s="110"/>
      <c r="L232" s="110"/>
      <c r="M232" s="110"/>
      <c r="N232" s="110"/>
      <c r="O232" s="110"/>
      <c r="P232" s="110"/>
      <c r="Q232" s="110"/>
      <c r="R232" s="110"/>
      <c r="S232" s="110"/>
      <c r="T232" s="110"/>
      <c r="U232" s="110"/>
      <c r="V232" s="110"/>
      <c r="W232" s="110"/>
    </row>
    <row r="233" ht="15.75" customHeight="1">
      <c r="A233" s="85" t="str">
        <f t="shared" si="58"/>
        <v>Chilli</v>
      </c>
      <c r="B233" s="85"/>
      <c r="C233" s="115"/>
      <c r="D233" s="116" t="str">
        <f t="shared" ref="D233:J233" si="93">C98*$C233*D$124</f>
        <v>  -   </v>
      </c>
      <c r="E233" s="116" t="str">
        <f t="shared" si="93"/>
        <v>  -   </v>
      </c>
      <c r="F233" s="116" t="str">
        <f t="shared" si="93"/>
        <v>  -   </v>
      </c>
      <c r="G233" s="116" t="str">
        <f t="shared" si="93"/>
        <v>  -   </v>
      </c>
      <c r="H233" s="116" t="str">
        <f t="shared" si="93"/>
        <v>  -   </v>
      </c>
      <c r="I233" s="116" t="str">
        <f t="shared" si="93"/>
        <v>  -   </v>
      </c>
      <c r="J233" s="116" t="str">
        <f t="shared" si="93"/>
        <v>  -   </v>
      </c>
      <c r="K233" s="110"/>
      <c r="L233" s="110"/>
      <c r="M233" s="110"/>
      <c r="N233" s="110"/>
      <c r="O233" s="110"/>
      <c r="P233" s="110"/>
      <c r="Q233" s="110"/>
      <c r="R233" s="110"/>
      <c r="S233" s="110"/>
      <c r="T233" s="110"/>
      <c r="U233" s="110"/>
      <c r="V233" s="110"/>
      <c r="W233" s="110"/>
    </row>
    <row r="234" ht="15.75" customHeight="1">
      <c r="A234" s="85" t="str">
        <f t="shared" si="58"/>
        <v>Brinjal</v>
      </c>
      <c r="B234" s="85"/>
      <c r="C234" s="115"/>
      <c r="D234" s="116" t="str">
        <f t="shared" ref="D234:J234" si="94">C99*$C234*D$124</f>
        <v>  -   </v>
      </c>
      <c r="E234" s="116" t="str">
        <f t="shared" si="94"/>
        <v>  -   </v>
      </c>
      <c r="F234" s="116" t="str">
        <f t="shared" si="94"/>
        <v>  -   </v>
      </c>
      <c r="G234" s="116" t="str">
        <f t="shared" si="94"/>
        <v>  -   </v>
      </c>
      <c r="H234" s="116" t="str">
        <f t="shared" si="94"/>
        <v>  -   </v>
      </c>
      <c r="I234" s="116" t="str">
        <f t="shared" si="94"/>
        <v>  -   </v>
      </c>
      <c r="J234" s="116" t="str">
        <f t="shared" si="94"/>
        <v>  -   </v>
      </c>
      <c r="K234" s="110"/>
      <c r="L234" s="110"/>
      <c r="M234" s="110"/>
      <c r="N234" s="110"/>
      <c r="O234" s="110"/>
      <c r="P234" s="110"/>
      <c r="Q234" s="110"/>
      <c r="R234" s="110"/>
      <c r="S234" s="110"/>
      <c r="T234" s="110"/>
      <c r="U234" s="110"/>
      <c r="V234" s="110"/>
      <c r="W234" s="110"/>
    </row>
    <row r="235" ht="15.75" customHeight="1">
      <c r="A235" s="85" t="str">
        <f t="shared" si="58"/>
        <v/>
      </c>
      <c r="B235" s="85"/>
      <c r="C235" s="115"/>
      <c r="D235" s="116" t="str">
        <f t="shared" ref="D235:J235" si="95">C100*$C235*D$124</f>
        <v>  -   </v>
      </c>
      <c r="E235" s="116" t="str">
        <f t="shared" si="95"/>
        <v>  -   </v>
      </c>
      <c r="F235" s="116" t="str">
        <f t="shared" si="95"/>
        <v>  -   </v>
      </c>
      <c r="G235" s="116" t="str">
        <f t="shared" si="95"/>
        <v>  -   </v>
      </c>
      <c r="H235" s="116" t="str">
        <f t="shared" si="95"/>
        <v>  -   </v>
      </c>
      <c r="I235" s="116" t="str">
        <f t="shared" si="95"/>
        <v>  -   </v>
      </c>
      <c r="J235" s="116" t="str">
        <f t="shared" si="95"/>
        <v>  -   </v>
      </c>
      <c r="K235" s="110"/>
      <c r="L235" s="110"/>
      <c r="M235" s="110"/>
      <c r="N235" s="110"/>
      <c r="O235" s="110"/>
      <c r="P235" s="110"/>
      <c r="Q235" s="110"/>
      <c r="R235" s="110"/>
      <c r="S235" s="110"/>
      <c r="T235" s="110"/>
      <c r="U235" s="110"/>
      <c r="V235" s="110"/>
      <c r="W235" s="110"/>
    </row>
    <row r="236" ht="15.75" customHeight="1">
      <c r="A236" s="85" t="str">
        <f t="shared" si="58"/>
        <v/>
      </c>
      <c r="B236" s="85"/>
      <c r="C236" s="115"/>
      <c r="D236" s="116" t="str">
        <f t="shared" ref="D236:J236" si="96">C101*$C236*D$124</f>
        <v>  -   </v>
      </c>
      <c r="E236" s="116" t="str">
        <f t="shared" si="96"/>
        <v>  -   </v>
      </c>
      <c r="F236" s="116" t="str">
        <f t="shared" si="96"/>
        <v>  -   </v>
      </c>
      <c r="G236" s="116" t="str">
        <f t="shared" si="96"/>
        <v>  -   </v>
      </c>
      <c r="H236" s="116" t="str">
        <f t="shared" si="96"/>
        <v>  -   </v>
      </c>
      <c r="I236" s="116" t="str">
        <f t="shared" si="96"/>
        <v>  -   </v>
      </c>
      <c r="J236" s="116" t="str">
        <f t="shared" si="96"/>
        <v>  -   </v>
      </c>
      <c r="K236" s="110"/>
      <c r="L236" s="110"/>
      <c r="M236" s="110"/>
      <c r="N236" s="110"/>
      <c r="O236" s="110"/>
      <c r="P236" s="110"/>
      <c r="Q236" s="110"/>
      <c r="R236" s="110"/>
      <c r="S236" s="110"/>
      <c r="T236" s="110"/>
      <c r="U236" s="110"/>
      <c r="V236" s="110"/>
      <c r="W236" s="110"/>
    </row>
    <row r="237" ht="15.75" customHeight="1">
      <c r="A237" s="85" t="str">
        <f t="shared" si="58"/>
        <v/>
      </c>
      <c r="B237" s="85"/>
      <c r="C237" s="115"/>
      <c r="D237" s="116" t="str">
        <f t="shared" ref="D237:J237" si="97">C102*$C237*D$124</f>
        <v>  -   </v>
      </c>
      <c r="E237" s="116" t="str">
        <f t="shared" si="97"/>
        <v>  -   </v>
      </c>
      <c r="F237" s="116" t="str">
        <f t="shared" si="97"/>
        <v>  -   </v>
      </c>
      <c r="G237" s="116" t="str">
        <f t="shared" si="97"/>
        <v>  -   </v>
      </c>
      <c r="H237" s="116" t="str">
        <f t="shared" si="97"/>
        <v>  -   </v>
      </c>
      <c r="I237" s="116" t="str">
        <f t="shared" si="97"/>
        <v>  -   </v>
      </c>
      <c r="J237" s="116" t="str">
        <f t="shared" si="97"/>
        <v>  -   </v>
      </c>
      <c r="K237" s="110"/>
      <c r="L237" s="110"/>
      <c r="M237" s="110"/>
      <c r="N237" s="110"/>
      <c r="O237" s="110"/>
      <c r="P237" s="110"/>
      <c r="Q237" s="110"/>
      <c r="R237" s="110"/>
      <c r="S237" s="110"/>
      <c r="T237" s="110"/>
      <c r="U237" s="110"/>
      <c r="V237" s="110"/>
      <c r="W237" s="110"/>
    </row>
    <row r="238" ht="15.75" customHeight="1">
      <c r="A238" s="85" t="str">
        <f t="shared" si="58"/>
        <v/>
      </c>
      <c r="B238" s="85"/>
      <c r="C238" s="115"/>
      <c r="D238" s="116" t="str">
        <f t="shared" ref="D238:J238" si="98">C103*$C238*D$124</f>
        <v>  -   </v>
      </c>
      <c r="E238" s="116" t="str">
        <f t="shared" si="98"/>
        <v>  -   </v>
      </c>
      <c r="F238" s="116" t="str">
        <f t="shared" si="98"/>
        <v>  -   </v>
      </c>
      <c r="G238" s="116" t="str">
        <f t="shared" si="98"/>
        <v>  -   </v>
      </c>
      <c r="H238" s="116" t="str">
        <f t="shared" si="98"/>
        <v>  -   </v>
      </c>
      <c r="I238" s="116" t="str">
        <f t="shared" si="98"/>
        <v>  -   </v>
      </c>
      <c r="J238" s="116" t="str">
        <f t="shared" si="98"/>
        <v>  -   </v>
      </c>
      <c r="K238" s="110"/>
      <c r="L238" s="110"/>
      <c r="M238" s="110"/>
      <c r="N238" s="110"/>
      <c r="O238" s="110"/>
      <c r="P238" s="110"/>
      <c r="Q238" s="110"/>
      <c r="R238" s="110"/>
      <c r="S238" s="110"/>
      <c r="T238" s="110"/>
      <c r="U238" s="110"/>
      <c r="V238" s="110"/>
      <c r="W238" s="110"/>
    </row>
    <row r="239" ht="15.75" customHeight="1">
      <c r="A239" s="85" t="str">
        <f t="shared" ref="A239:A243" si="100">A175</f>
        <v>Pomegranate</v>
      </c>
      <c r="B239" s="85"/>
      <c r="C239" s="115"/>
      <c r="D239" s="116" t="str">
        <f t="shared" ref="D239:J239" si="99">C107*$C239*D$124</f>
        <v>  -   </v>
      </c>
      <c r="E239" s="116" t="str">
        <f t="shared" si="99"/>
        <v>  -   </v>
      </c>
      <c r="F239" s="116" t="str">
        <f t="shared" si="99"/>
        <v>  -   </v>
      </c>
      <c r="G239" s="116" t="str">
        <f t="shared" si="99"/>
        <v>  -   </v>
      </c>
      <c r="H239" s="116" t="str">
        <f t="shared" si="99"/>
        <v>  -   </v>
      </c>
      <c r="I239" s="116" t="str">
        <f t="shared" si="99"/>
        <v>  -   </v>
      </c>
      <c r="J239" s="116" t="str">
        <f t="shared" si="99"/>
        <v>  -   </v>
      </c>
      <c r="K239" s="110"/>
      <c r="L239" s="110"/>
      <c r="M239" s="110"/>
      <c r="N239" s="110"/>
      <c r="O239" s="110"/>
      <c r="P239" s="110"/>
      <c r="Q239" s="110"/>
      <c r="R239" s="110"/>
      <c r="S239" s="110"/>
      <c r="T239" s="110"/>
      <c r="U239" s="110"/>
      <c r="V239" s="110"/>
      <c r="W239" s="110"/>
    </row>
    <row r="240" ht="15.75" customHeight="1">
      <c r="A240" s="85" t="str">
        <f t="shared" si="100"/>
        <v>Custard Apple</v>
      </c>
      <c r="B240" s="85"/>
      <c r="C240" s="115"/>
      <c r="D240" s="116" t="str">
        <f t="shared" ref="D240:J240" si="101">C108*$C240*D$124</f>
        <v>  -   </v>
      </c>
      <c r="E240" s="116" t="str">
        <f t="shared" si="101"/>
        <v>  -   </v>
      </c>
      <c r="F240" s="116" t="str">
        <f t="shared" si="101"/>
        <v>  -   </v>
      </c>
      <c r="G240" s="116" t="str">
        <f t="shared" si="101"/>
        <v>  -   </v>
      </c>
      <c r="H240" s="116" t="str">
        <f t="shared" si="101"/>
        <v>  -   </v>
      </c>
      <c r="I240" s="116" t="str">
        <f t="shared" si="101"/>
        <v>  -   </v>
      </c>
      <c r="J240" s="116" t="str">
        <f t="shared" si="101"/>
        <v>  -   </v>
      </c>
      <c r="K240" s="110"/>
      <c r="L240" s="110"/>
      <c r="M240" s="110"/>
      <c r="N240" s="110"/>
      <c r="O240" s="110"/>
      <c r="P240" s="110"/>
      <c r="Q240" s="110"/>
      <c r="R240" s="110"/>
      <c r="S240" s="110"/>
      <c r="T240" s="110"/>
      <c r="U240" s="110"/>
      <c r="V240" s="110"/>
      <c r="W240" s="110"/>
    </row>
    <row r="241" ht="15.75" customHeight="1">
      <c r="A241" s="85" t="str">
        <f t="shared" si="100"/>
        <v>Guava</v>
      </c>
      <c r="B241" s="85"/>
      <c r="C241" s="115"/>
      <c r="D241" s="116" t="str">
        <f t="shared" ref="D241:J241" si="102">C109*$C241*D$124</f>
        <v>  -   </v>
      </c>
      <c r="E241" s="116" t="str">
        <f t="shared" si="102"/>
        <v>  -   </v>
      </c>
      <c r="F241" s="116" t="str">
        <f t="shared" si="102"/>
        <v>  -   </v>
      </c>
      <c r="G241" s="116" t="str">
        <f t="shared" si="102"/>
        <v>  -   </v>
      </c>
      <c r="H241" s="116" t="str">
        <f t="shared" si="102"/>
        <v>  -   </v>
      </c>
      <c r="I241" s="116" t="str">
        <f t="shared" si="102"/>
        <v>  -   </v>
      </c>
      <c r="J241" s="116" t="str">
        <f t="shared" si="102"/>
        <v>  -   </v>
      </c>
      <c r="K241" s="110"/>
      <c r="L241" s="110"/>
      <c r="M241" s="110"/>
      <c r="N241" s="110"/>
      <c r="O241" s="110"/>
      <c r="P241" s="110"/>
      <c r="Q241" s="110"/>
      <c r="R241" s="110"/>
      <c r="S241" s="110"/>
      <c r="T241" s="110"/>
      <c r="U241" s="110"/>
      <c r="V241" s="110"/>
      <c r="W241" s="110"/>
    </row>
    <row r="242" ht="15.75" customHeight="1">
      <c r="A242" s="85" t="str">
        <f t="shared" si="100"/>
        <v>Citrus</v>
      </c>
      <c r="B242" s="85"/>
      <c r="C242" s="115"/>
      <c r="D242" s="116" t="str">
        <f t="shared" ref="D242:J242" si="103">C110*$C242*D$124</f>
        <v>  -   </v>
      </c>
      <c r="E242" s="116" t="str">
        <f t="shared" si="103"/>
        <v>  -   </v>
      </c>
      <c r="F242" s="116" t="str">
        <f t="shared" si="103"/>
        <v>  -   </v>
      </c>
      <c r="G242" s="116" t="str">
        <f t="shared" si="103"/>
        <v>  -   </v>
      </c>
      <c r="H242" s="116" t="str">
        <f t="shared" si="103"/>
        <v>  -   </v>
      </c>
      <c r="I242" s="116" t="str">
        <f t="shared" si="103"/>
        <v>  -   </v>
      </c>
      <c r="J242" s="116" t="str">
        <f t="shared" si="103"/>
        <v>  -   </v>
      </c>
      <c r="K242" s="110"/>
      <c r="L242" s="110"/>
      <c r="M242" s="110"/>
      <c r="N242" s="110"/>
      <c r="O242" s="110"/>
      <c r="P242" s="110"/>
      <c r="Q242" s="110"/>
      <c r="R242" s="110"/>
      <c r="S242" s="110"/>
      <c r="T242" s="110"/>
      <c r="U242" s="110"/>
      <c r="V242" s="110"/>
      <c r="W242" s="110"/>
    </row>
    <row r="243" ht="15.75" customHeight="1">
      <c r="A243" s="85" t="str">
        <f t="shared" si="100"/>
        <v/>
      </c>
      <c r="B243" s="85"/>
      <c r="C243" s="115"/>
      <c r="D243" s="116" t="str">
        <f t="shared" ref="D243:J243" si="104">C111*$C243*D$124</f>
        <v>  -   </v>
      </c>
      <c r="E243" s="116" t="str">
        <f t="shared" si="104"/>
        <v>  -   </v>
      </c>
      <c r="F243" s="116" t="str">
        <f t="shared" si="104"/>
        <v>  -   </v>
      </c>
      <c r="G243" s="116" t="str">
        <f t="shared" si="104"/>
        <v>  -   </v>
      </c>
      <c r="H243" s="116" t="str">
        <f t="shared" si="104"/>
        <v>  -   </v>
      </c>
      <c r="I243" s="116" t="str">
        <f t="shared" si="104"/>
        <v>  -   </v>
      </c>
      <c r="J243" s="116" t="str">
        <f t="shared" si="104"/>
        <v>  -   </v>
      </c>
      <c r="K243" s="110"/>
      <c r="L243" s="110"/>
      <c r="M243" s="110"/>
      <c r="N243" s="110"/>
      <c r="O243" s="110"/>
      <c r="P243" s="110"/>
      <c r="Q243" s="110"/>
      <c r="R243" s="110"/>
      <c r="S243" s="110"/>
      <c r="T243" s="110"/>
      <c r="U243" s="110"/>
      <c r="V243" s="110"/>
      <c r="W243" s="110"/>
    </row>
    <row r="244" ht="15.75" customHeight="1">
      <c r="A244" s="85" t="str">
        <f t="shared" ref="A244:A247" si="105">A181</f>
        <v>Fertilizer(Rate/KG)</v>
      </c>
      <c r="B244" s="85"/>
      <c r="C244" s="116"/>
      <c r="D244" s="116"/>
      <c r="E244" s="116"/>
      <c r="F244" s="116"/>
      <c r="G244" s="116"/>
      <c r="H244" s="116"/>
      <c r="I244" s="116"/>
      <c r="J244" s="116"/>
      <c r="K244" s="110"/>
      <c r="L244" s="110"/>
      <c r="M244" s="110"/>
      <c r="N244" s="110"/>
      <c r="O244" s="110"/>
      <c r="P244" s="110"/>
      <c r="Q244" s="110"/>
      <c r="R244" s="110"/>
      <c r="S244" s="110"/>
      <c r="T244" s="110"/>
      <c r="U244" s="110"/>
      <c r="V244" s="110"/>
      <c r="W244" s="110"/>
    </row>
    <row r="245" ht="15.75" customHeight="1">
      <c r="A245" s="85" t="str">
        <f t="shared" si="105"/>
        <v>SSP</v>
      </c>
      <c r="B245" s="85"/>
      <c r="C245" s="115">
        <v>6.0</v>
      </c>
      <c r="D245" s="116" t="str">
        <f t="shared" ref="D245:J245" si="106">C114*$C$245*D124</f>
        <v>  -   </v>
      </c>
      <c r="E245" s="116" t="str">
        <f t="shared" si="106"/>
        <v>  -   </v>
      </c>
      <c r="F245" s="116" t="str">
        <f t="shared" si="106"/>
        <v>  -   </v>
      </c>
      <c r="G245" s="116" t="str">
        <f t="shared" si="106"/>
        <v>  -   </v>
      </c>
      <c r="H245" s="116" t="str">
        <f t="shared" si="106"/>
        <v>  -   </v>
      </c>
      <c r="I245" s="116" t="str">
        <f t="shared" si="106"/>
        <v>  -   </v>
      </c>
      <c r="J245" s="116" t="str">
        <f t="shared" si="106"/>
        <v>  -   </v>
      </c>
      <c r="K245" s="110"/>
      <c r="L245" s="110"/>
      <c r="M245" s="110"/>
      <c r="N245" s="110"/>
      <c r="O245" s="110"/>
      <c r="P245" s="110"/>
      <c r="Q245" s="110"/>
      <c r="R245" s="110"/>
      <c r="S245" s="110"/>
      <c r="T245" s="110"/>
      <c r="U245" s="110"/>
      <c r="V245" s="110"/>
      <c r="W245" s="110"/>
    </row>
    <row r="246" ht="15.75" customHeight="1">
      <c r="A246" s="85" t="str">
        <f t="shared" si="105"/>
        <v>Urea</v>
      </c>
      <c r="B246" s="85"/>
      <c r="C246" s="115">
        <v>5.0</v>
      </c>
      <c r="D246" s="116" t="str">
        <f t="shared" ref="D246:J246" si="107">C115*$C$246*D124</f>
        <v>  -   </v>
      </c>
      <c r="E246" s="116" t="str">
        <f t="shared" si="107"/>
        <v>  -   </v>
      </c>
      <c r="F246" s="116" t="str">
        <f t="shared" si="107"/>
        <v>  -   </v>
      </c>
      <c r="G246" s="116" t="str">
        <f t="shared" si="107"/>
        <v>  -   </v>
      </c>
      <c r="H246" s="116" t="str">
        <f t="shared" si="107"/>
        <v>  -   </v>
      </c>
      <c r="I246" s="116" t="str">
        <f t="shared" si="107"/>
        <v>  -   </v>
      </c>
      <c r="J246" s="116" t="str">
        <f t="shared" si="107"/>
        <v>  -   </v>
      </c>
      <c r="K246" s="110"/>
      <c r="L246" s="110"/>
      <c r="M246" s="110"/>
      <c r="N246" s="110"/>
      <c r="O246" s="110"/>
      <c r="P246" s="110"/>
      <c r="Q246" s="110"/>
      <c r="R246" s="110"/>
      <c r="S246" s="110"/>
      <c r="T246" s="110"/>
      <c r="U246" s="110"/>
      <c r="V246" s="110"/>
      <c r="W246" s="110"/>
    </row>
    <row r="247" ht="15.75" customHeight="1">
      <c r="A247" s="85" t="str">
        <f t="shared" si="105"/>
        <v>DAP</v>
      </c>
      <c r="B247" s="85"/>
      <c r="C247" s="115">
        <v>27.0</v>
      </c>
      <c r="D247" s="116" t="str">
        <f t="shared" ref="D247:J247" si="108">C116*$C$247*D124</f>
        <v>  -   </v>
      </c>
      <c r="E247" s="116" t="str">
        <f t="shared" si="108"/>
        <v>  -   </v>
      </c>
      <c r="F247" s="116" t="str">
        <f t="shared" si="108"/>
        <v>  -   </v>
      </c>
      <c r="G247" s="116" t="str">
        <f t="shared" si="108"/>
        <v>  -   </v>
      </c>
      <c r="H247" s="116" t="str">
        <f t="shared" si="108"/>
        <v>  -   </v>
      </c>
      <c r="I247" s="116" t="str">
        <f t="shared" si="108"/>
        <v>  -   </v>
      </c>
      <c r="J247" s="116" t="str">
        <f t="shared" si="108"/>
        <v>  -   </v>
      </c>
      <c r="K247" s="110"/>
      <c r="L247" s="110"/>
      <c r="M247" s="110"/>
      <c r="N247" s="110"/>
      <c r="O247" s="110"/>
      <c r="P247" s="110"/>
      <c r="Q247" s="110"/>
      <c r="R247" s="110"/>
      <c r="S247" s="110"/>
      <c r="T247" s="110"/>
      <c r="U247" s="110"/>
      <c r="V247" s="110"/>
      <c r="W247" s="110"/>
    </row>
    <row r="248" ht="15.75" customHeight="1">
      <c r="A248" s="85"/>
      <c r="B248" s="85"/>
      <c r="C248" s="116"/>
      <c r="D248" s="116"/>
      <c r="E248" s="116"/>
      <c r="F248" s="116"/>
      <c r="G248" s="116"/>
      <c r="H248" s="116"/>
      <c r="I248" s="116"/>
      <c r="J248" s="116"/>
      <c r="K248" s="110"/>
      <c r="L248" s="110"/>
      <c r="M248" s="110"/>
      <c r="N248" s="110"/>
      <c r="O248" s="110"/>
      <c r="P248" s="110"/>
      <c r="Q248" s="110"/>
      <c r="R248" s="110"/>
      <c r="S248" s="110"/>
      <c r="T248" s="110"/>
      <c r="U248" s="110"/>
      <c r="V248" s="110"/>
      <c r="W248" s="110"/>
    </row>
    <row r="249" ht="15.75" customHeight="1">
      <c r="A249" s="85" t="str">
        <f t="shared" ref="A249:A251" si="109">A186</f>
        <v>Pesticide</v>
      </c>
      <c r="B249" s="85"/>
      <c r="C249" s="116"/>
      <c r="D249" s="116"/>
      <c r="E249" s="116"/>
      <c r="F249" s="116"/>
      <c r="G249" s="116"/>
      <c r="H249" s="116"/>
      <c r="I249" s="116"/>
      <c r="J249" s="116"/>
      <c r="K249" s="110"/>
      <c r="L249" s="110"/>
      <c r="M249" s="110"/>
      <c r="N249" s="110"/>
      <c r="O249" s="110"/>
      <c r="P249" s="110"/>
      <c r="Q249" s="110"/>
      <c r="R249" s="110"/>
      <c r="S249" s="110"/>
      <c r="T249" s="110"/>
      <c r="U249" s="110"/>
      <c r="V249" s="110"/>
      <c r="W249" s="110"/>
    </row>
    <row r="250" ht="15.75" customHeight="1">
      <c r="A250" s="85" t="str">
        <f t="shared" si="109"/>
        <v>Dupont Coragen</v>
      </c>
      <c r="B250" s="85"/>
      <c r="C250" s="115">
        <v>2800.0</v>
      </c>
      <c r="D250" s="116" t="str">
        <f t="shared" ref="D250:J250" si="110">C118*$C$250*D124</f>
        <v>  -   </v>
      </c>
      <c r="E250" s="116" t="str">
        <f t="shared" si="110"/>
        <v>  -   </v>
      </c>
      <c r="F250" s="116" t="str">
        <f t="shared" si="110"/>
        <v>  -   </v>
      </c>
      <c r="G250" s="116" t="str">
        <f t="shared" si="110"/>
        <v>  -   </v>
      </c>
      <c r="H250" s="116" t="str">
        <f t="shared" si="110"/>
        <v>  -   </v>
      </c>
      <c r="I250" s="116" t="str">
        <f t="shared" si="110"/>
        <v>  -   </v>
      </c>
      <c r="J250" s="116" t="str">
        <f t="shared" si="110"/>
        <v>  -   </v>
      </c>
      <c r="K250" s="110"/>
      <c r="L250" s="110"/>
      <c r="M250" s="110"/>
      <c r="N250" s="110"/>
      <c r="O250" s="110"/>
      <c r="P250" s="110"/>
      <c r="Q250" s="110"/>
      <c r="R250" s="110"/>
      <c r="S250" s="110"/>
      <c r="T250" s="110"/>
      <c r="U250" s="110"/>
      <c r="V250" s="110"/>
      <c r="W250" s="110"/>
    </row>
    <row r="251" ht="15.75" customHeight="1">
      <c r="A251" s="85" t="str">
        <f t="shared" si="109"/>
        <v>Confidor Boyer</v>
      </c>
      <c r="B251" s="85"/>
      <c r="C251" s="115">
        <v>2000.0</v>
      </c>
      <c r="D251" s="116" t="str">
        <f t="shared" ref="D251:J251" si="111">C119*$C$251*D124</f>
        <v>  -   </v>
      </c>
      <c r="E251" s="116" t="str">
        <f t="shared" si="111"/>
        <v>  -   </v>
      </c>
      <c r="F251" s="116" t="str">
        <f t="shared" si="111"/>
        <v>  -   </v>
      </c>
      <c r="G251" s="116" t="str">
        <f t="shared" si="111"/>
        <v>  -   </v>
      </c>
      <c r="H251" s="116" t="str">
        <f t="shared" si="111"/>
        <v>  -   </v>
      </c>
      <c r="I251" s="116" t="str">
        <f t="shared" si="111"/>
        <v>  -   </v>
      </c>
      <c r="J251" s="116" t="str">
        <f t="shared" si="111"/>
        <v>  -   </v>
      </c>
      <c r="K251" s="110"/>
      <c r="L251" s="110"/>
      <c r="M251" s="110"/>
      <c r="N251" s="110"/>
      <c r="O251" s="110"/>
      <c r="P251" s="110"/>
      <c r="Q251" s="110"/>
      <c r="R251" s="110"/>
      <c r="S251" s="110"/>
      <c r="T251" s="110"/>
      <c r="U251" s="110"/>
      <c r="V251" s="110"/>
      <c r="W251" s="110"/>
    </row>
    <row r="252" ht="15.75" customHeight="1">
      <c r="A252" s="85"/>
      <c r="B252" s="85"/>
      <c r="C252" s="116"/>
      <c r="D252" s="116"/>
      <c r="E252" s="116"/>
      <c r="F252" s="116"/>
      <c r="G252" s="116"/>
      <c r="H252" s="116"/>
      <c r="I252" s="116"/>
      <c r="J252" s="116"/>
      <c r="K252" s="110"/>
      <c r="L252" s="110"/>
      <c r="M252" s="110"/>
      <c r="N252" s="110"/>
      <c r="O252" s="110"/>
      <c r="P252" s="110"/>
      <c r="Q252" s="110"/>
      <c r="R252" s="110"/>
      <c r="S252" s="110"/>
      <c r="T252" s="110"/>
      <c r="U252" s="110"/>
      <c r="V252" s="110"/>
      <c r="W252" s="110"/>
    </row>
    <row r="253" ht="15.75" customHeight="1">
      <c r="A253" s="85" t="s">
        <v>713</v>
      </c>
      <c r="B253" s="85"/>
      <c r="C253" s="115">
        <v>10.0</v>
      </c>
      <c r="D253" s="116" t="str">
        <f t="shared" ref="D253:J253" si="112">(SUM(C63:C119)/50)*$C$253*D124</f>
        <v>  -   </v>
      </c>
      <c r="E253" s="116" t="str">
        <f t="shared" si="112"/>
        <v>  -   </v>
      </c>
      <c r="F253" s="116" t="str">
        <f t="shared" si="112"/>
        <v>  -   </v>
      </c>
      <c r="G253" s="116" t="str">
        <f t="shared" si="112"/>
        <v>  -   </v>
      </c>
      <c r="H253" s="116" t="str">
        <f t="shared" si="112"/>
        <v>  -   </v>
      </c>
      <c r="I253" s="116" t="str">
        <f t="shared" si="112"/>
        <v>  -   </v>
      </c>
      <c r="J253" s="116" t="str">
        <f t="shared" si="112"/>
        <v>  -   </v>
      </c>
      <c r="K253" s="110"/>
      <c r="L253" s="110"/>
      <c r="M253" s="110"/>
      <c r="N253" s="110"/>
      <c r="O253" s="110"/>
      <c r="P253" s="110"/>
      <c r="Q253" s="110"/>
      <c r="R253" s="110"/>
      <c r="S253" s="110"/>
      <c r="T253" s="110"/>
      <c r="U253" s="110"/>
      <c r="V253" s="110"/>
      <c r="W253" s="110"/>
    </row>
    <row r="254" ht="15.75" customHeight="1">
      <c r="A254" s="85" t="s">
        <v>714</v>
      </c>
      <c r="B254" s="85"/>
      <c r="C254" s="115">
        <v>100.0</v>
      </c>
      <c r="D254" s="116" t="str">
        <f t="shared" ref="D254:J254" si="113">(SUM(C63:C119)/50)*$C$254*D124</f>
        <v>  -   </v>
      </c>
      <c r="E254" s="116" t="str">
        <f t="shared" si="113"/>
        <v>  -   </v>
      </c>
      <c r="F254" s="116" t="str">
        <f t="shared" si="113"/>
        <v>  -   </v>
      </c>
      <c r="G254" s="116" t="str">
        <f t="shared" si="113"/>
        <v>  -   </v>
      </c>
      <c r="H254" s="116" t="str">
        <f t="shared" si="113"/>
        <v>  -   </v>
      </c>
      <c r="I254" s="116" t="str">
        <f t="shared" si="113"/>
        <v>  -   </v>
      </c>
      <c r="J254" s="116" t="str">
        <f t="shared" si="113"/>
        <v>  -   </v>
      </c>
      <c r="K254" s="110"/>
      <c r="L254" s="110"/>
      <c r="M254" s="110"/>
      <c r="N254" s="110"/>
      <c r="O254" s="110"/>
      <c r="P254" s="110"/>
      <c r="Q254" s="110"/>
      <c r="R254" s="110"/>
      <c r="S254" s="110"/>
      <c r="T254" s="110"/>
      <c r="U254" s="110"/>
      <c r="V254" s="110"/>
      <c r="W254" s="110"/>
    </row>
    <row r="255" ht="15.75" customHeight="1">
      <c r="A255" s="85"/>
      <c r="B255" s="85"/>
      <c r="C255" s="115"/>
      <c r="D255" s="371"/>
      <c r="E255" s="116"/>
      <c r="F255" s="116"/>
      <c r="G255" s="116"/>
      <c r="H255" s="116"/>
      <c r="I255" s="116"/>
      <c r="J255" s="116"/>
      <c r="K255" s="110"/>
      <c r="L255" s="110"/>
      <c r="M255" s="110"/>
      <c r="N255" s="110"/>
      <c r="O255" s="110"/>
      <c r="P255" s="110"/>
      <c r="Q255" s="110"/>
      <c r="R255" s="110"/>
      <c r="S255" s="110"/>
      <c r="T255" s="110"/>
      <c r="U255" s="110"/>
      <c r="V255" s="110"/>
      <c r="W255" s="110"/>
    </row>
    <row r="256" ht="15.75" customHeight="1">
      <c r="A256" s="85"/>
      <c r="B256" s="85"/>
      <c r="C256" s="115"/>
      <c r="D256" s="371"/>
      <c r="E256" s="116"/>
      <c r="F256" s="116"/>
      <c r="G256" s="116"/>
      <c r="H256" s="116"/>
      <c r="I256" s="116"/>
      <c r="J256" s="116"/>
      <c r="K256" s="110"/>
      <c r="L256" s="110"/>
      <c r="M256" s="110"/>
      <c r="N256" s="110"/>
      <c r="O256" s="110"/>
      <c r="P256" s="110"/>
      <c r="Q256" s="110"/>
      <c r="R256" s="110"/>
      <c r="S256" s="110"/>
      <c r="T256" s="110"/>
      <c r="U256" s="110"/>
      <c r="V256" s="110"/>
      <c r="W256" s="110"/>
    </row>
    <row r="257" ht="15.75" customHeight="1">
      <c r="A257" s="85"/>
      <c r="B257" s="85"/>
      <c r="C257" s="115"/>
      <c r="D257" s="371"/>
      <c r="E257" s="116"/>
      <c r="F257" s="116"/>
      <c r="G257" s="116"/>
      <c r="H257" s="116"/>
      <c r="I257" s="116"/>
      <c r="J257" s="116"/>
      <c r="K257" s="110"/>
      <c r="L257" s="110"/>
      <c r="M257" s="110"/>
      <c r="N257" s="110"/>
      <c r="O257" s="110"/>
      <c r="P257" s="110"/>
      <c r="Q257" s="110"/>
      <c r="R257" s="110"/>
      <c r="S257" s="110"/>
      <c r="T257" s="110"/>
      <c r="U257" s="110"/>
      <c r="V257" s="110"/>
      <c r="W257" s="110"/>
    </row>
    <row r="258" ht="15.75" customHeight="1">
      <c r="A258" s="85"/>
      <c r="B258" s="85"/>
      <c r="C258" s="115"/>
      <c r="D258" s="371"/>
      <c r="E258" s="116"/>
      <c r="F258" s="116"/>
      <c r="G258" s="116"/>
      <c r="H258" s="116"/>
      <c r="I258" s="116"/>
      <c r="J258" s="116"/>
      <c r="K258" s="110"/>
      <c r="L258" s="110"/>
      <c r="M258" s="110"/>
      <c r="N258" s="110"/>
      <c r="O258" s="110"/>
      <c r="P258" s="110"/>
      <c r="Q258" s="110"/>
      <c r="R258" s="110"/>
      <c r="S258" s="110"/>
      <c r="T258" s="110"/>
      <c r="U258" s="110"/>
      <c r="V258" s="110"/>
      <c r="W258" s="110"/>
    </row>
    <row r="259" ht="15.75" customHeight="1">
      <c r="A259" s="85" t="s">
        <v>623</v>
      </c>
      <c r="B259" s="85"/>
      <c r="C259" s="116"/>
      <c r="D259" s="371"/>
      <c r="E259" s="116" t="str">
        <f>'5.Closing Stock &amp; W Capital'!F5</f>
        <v>  -   </v>
      </c>
      <c r="F259" s="116" t="str">
        <f>'5.Closing Stock &amp; W Capital'!G5</f>
        <v>  -   </v>
      </c>
      <c r="G259" s="116" t="str">
        <f>'5.Closing Stock &amp; W Capital'!H5</f>
        <v>  -   </v>
      </c>
      <c r="H259" s="116" t="str">
        <f>'5.Closing Stock &amp; W Capital'!I5</f>
        <v>  -   </v>
      </c>
      <c r="I259" s="116" t="str">
        <f>'5.Closing Stock &amp; W Capital'!J5</f>
        <v>  -   </v>
      </c>
      <c r="J259" s="116" t="str">
        <f>'5.Closing Stock &amp; W Capital'!K5</f>
        <v>  -   </v>
      </c>
      <c r="K259" s="110"/>
      <c r="L259" s="110"/>
      <c r="M259" s="110"/>
      <c r="N259" s="110"/>
      <c r="O259" s="110"/>
      <c r="P259" s="110"/>
      <c r="Q259" s="110"/>
      <c r="R259" s="110"/>
      <c r="S259" s="110"/>
      <c r="T259" s="110"/>
      <c r="U259" s="110"/>
      <c r="V259" s="110"/>
      <c r="W259" s="110"/>
    </row>
    <row r="260" ht="15.75" customHeight="1">
      <c r="A260" s="85" t="s">
        <v>624</v>
      </c>
      <c r="B260" s="85"/>
      <c r="C260" s="85"/>
      <c r="D260" s="371" t="str">
        <f>'5.Closing Stock &amp; W Capital'!E14</f>
        <v>  -   </v>
      </c>
      <c r="E260" s="116" t="str">
        <f>'5.Closing Stock &amp; W Capital'!F14</f>
        <v>  -   </v>
      </c>
      <c r="F260" s="116" t="str">
        <f>'5.Closing Stock &amp; W Capital'!G14</f>
        <v>  -   </v>
      </c>
      <c r="G260" s="116" t="str">
        <f>'5.Closing Stock &amp; W Capital'!H14</f>
        <v>  -   </v>
      </c>
      <c r="H260" s="116" t="str">
        <f>'5.Closing Stock &amp; W Capital'!I14</f>
        <v>  -   </v>
      </c>
      <c r="I260" s="116" t="str">
        <f>'5.Closing Stock &amp; W Capital'!J14</f>
        <v>  -   </v>
      </c>
      <c r="J260" s="116" t="str">
        <f>'5.Closing Stock &amp; W Capital'!K14</f>
        <v>  -   </v>
      </c>
      <c r="K260" s="110"/>
      <c r="L260" s="110"/>
      <c r="M260" s="110"/>
      <c r="N260" s="110"/>
      <c r="O260" s="110"/>
      <c r="P260" s="110"/>
      <c r="Q260" s="110"/>
      <c r="R260" s="110"/>
      <c r="S260" s="110"/>
      <c r="T260" s="110"/>
      <c r="U260" s="110"/>
      <c r="V260" s="110"/>
      <c r="W260" s="110"/>
    </row>
    <row r="261" ht="15.75" customHeight="1">
      <c r="A261" s="85"/>
      <c r="B261" s="85"/>
      <c r="C261" s="85"/>
      <c r="D261" s="110"/>
      <c r="E261" s="110"/>
      <c r="F261" s="110"/>
      <c r="G261" s="110"/>
      <c r="H261" s="110"/>
      <c r="I261" s="110"/>
      <c r="J261" s="110"/>
      <c r="K261" s="110"/>
      <c r="L261" s="110"/>
      <c r="M261" s="110"/>
      <c r="N261" s="110"/>
      <c r="O261" s="110"/>
      <c r="P261" s="110"/>
      <c r="Q261" s="110"/>
      <c r="R261" s="110"/>
      <c r="S261" s="110"/>
      <c r="T261" s="110"/>
      <c r="U261" s="110"/>
      <c r="V261" s="110"/>
      <c r="W261" s="110"/>
    </row>
    <row r="262" ht="15.75" customHeight="1">
      <c r="A262" s="117" t="s">
        <v>386</v>
      </c>
      <c r="B262" s="117"/>
      <c r="C262" s="118"/>
      <c r="D262" s="118" t="str">
        <f t="shared" ref="D262:J262" si="114">SUM(D197:D258)+D259-D260</f>
        <v>  -   </v>
      </c>
      <c r="E262" s="118" t="str">
        <f t="shared" si="114"/>
        <v>  -   </v>
      </c>
      <c r="F262" s="118" t="str">
        <f t="shared" si="114"/>
        <v>  -   </v>
      </c>
      <c r="G262" s="118" t="str">
        <f t="shared" si="114"/>
        <v>  -   </v>
      </c>
      <c r="H262" s="118" t="str">
        <f t="shared" si="114"/>
        <v>  -   </v>
      </c>
      <c r="I262" s="118" t="str">
        <f t="shared" si="114"/>
        <v>  -   </v>
      </c>
      <c r="J262" s="118" t="str">
        <f t="shared" si="114"/>
        <v>  -   </v>
      </c>
      <c r="K262" s="110"/>
      <c r="L262" s="110"/>
      <c r="M262" s="110"/>
      <c r="N262" s="110"/>
      <c r="O262" s="110"/>
      <c r="P262" s="110"/>
      <c r="Q262" s="110"/>
      <c r="R262" s="110"/>
      <c r="S262" s="110"/>
      <c r="T262" s="110"/>
      <c r="U262" s="110"/>
      <c r="V262" s="110"/>
      <c r="W262" s="110"/>
    </row>
    <row r="263" ht="15.75" customHeight="1">
      <c r="A263" s="85"/>
      <c r="B263" s="85"/>
      <c r="C263" s="116"/>
      <c r="D263" s="116"/>
      <c r="E263" s="116"/>
      <c r="F263" s="116"/>
      <c r="G263" s="116"/>
      <c r="H263" s="116"/>
      <c r="I263" s="116"/>
      <c r="J263" s="116"/>
      <c r="K263" s="110"/>
      <c r="L263" s="110"/>
      <c r="M263" s="110"/>
      <c r="N263" s="110"/>
      <c r="O263" s="110"/>
      <c r="P263" s="110"/>
      <c r="Q263" s="110"/>
      <c r="R263" s="110"/>
      <c r="S263" s="110"/>
      <c r="T263" s="110"/>
      <c r="U263" s="110"/>
      <c r="V263" s="110"/>
      <c r="W263" s="110"/>
    </row>
    <row r="264" ht="15.75" customHeight="1">
      <c r="A264" s="117" t="s">
        <v>387</v>
      </c>
      <c r="B264" s="117"/>
      <c r="C264" s="116"/>
      <c r="D264" s="116"/>
      <c r="E264" s="116"/>
      <c r="F264" s="116"/>
      <c r="G264" s="116"/>
      <c r="H264" s="116"/>
      <c r="I264" s="116"/>
      <c r="J264" s="116"/>
      <c r="K264" s="110"/>
      <c r="L264" s="110"/>
      <c r="M264" s="110"/>
      <c r="N264" s="110"/>
      <c r="O264" s="110"/>
      <c r="P264" s="110"/>
      <c r="Q264" s="110"/>
      <c r="R264" s="110"/>
      <c r="S264" s="110"/>
      <c r="T264" s="110"/>
      <c r="U264" s="110"/>
      <c r="V264" s="110"/>
      <c r="W264" s="110"/>
    </row>
    <row r="265" ht="15.75" customHeight="1">
      <c r="A265" s="85" t="s">
        <v>715</v>
      </c>
      <c r="B265" s="85">
        <v>12.0</v>
      </c>
      <c r="C265" s="115"/>
      <c r="D265" s="116" t="str">
        <f t="shared" ref="D265:J265" si="115">$B$265*$C$265*D124</f>
        <v>  -   </v>
      </c>
      <c r="E265" s="116" t="str">
        <f t="shared" si="115"/>
        <v>  -   </v>
      </c>
      <c r="F265" s="116" t="str">
        <f t="shared" si="115"/>
        <v>  -   </v>
      </c>
      <c r="G265" s="116" t="str">
        <f t="shared" si="115"/>
        <v>  -   </v>
      </c>
      <c r="H265" s="116" t="str">
        <f t="shared" si="115"/>
        <v>  -   </v>
      </c>
      <c r="I265" s="116" t="str">
        <f t="shared" si="115"/>
        <v>  -   </v>
      </c>
      <c r="J265" s="116" t="str">
        <f t="shared" si="115"/>
        <v>  -   </v>
      </c>
      <c r="K265" s="110"/>
      <c r="L265" s="110"/>
      <c r="M265" s="110"/>
      <c r="N265" s="110"/>
      <c r="O265" s="110"/>
      <c r="P265" s="110"/>
      <c r="Q265" s="110"/>
      <c r="R265" s="110"/>
      <c r="S265" s="110"/>
      <c r="T265" s="110"/>
      <c r="U265" s="110"/>
      <c r="V265" s="110"/>
      <c r="W265" s="110"/>
    </row>
    <row r="266" ht="15.75" customHeight="1">
      <c r="A266" s="85" t="s">
        <v>716</v>
      </c>
      <c r="B266" s="72">
        <v>1.0</v>
      </c>
      <c r="C266" s="115"/>
      <c r="D266" s="116" t="str">
        <f t="shared" ref="D266:J266" si="116">$B$266*$C$266*12*D124</f>
        <v>  -   </v>
      </c>
      <c r="E266" s="116" t="str">
        <f t="shared" si="116"/>
        <v>  -   </v>
      </c>
      <c r="F266" s="116" t="str">
        <f t="shared" si="116"/>
        <v>  -   </v>
      </c>
      <c r="G266" s="116" t="str">
        <f t="shared" si="116"/>
        <v>  -   </v>
      </c>
      <c r="H266" s="116" t="str">
        <f t="shared" si="116"/>
        <v>  -   </v>
      </c>
      <c r="I266" s="116" t="str">
        <f t="shared" si="116"/>
        <v>  -   </v>
      </c>
      <c r="J266" s="116" t="str">
        <f t="shared" si="116"/>
        <v>  -   </v>
      </c>
      <c r="K266" s="110"/>
      <c r="L266" s="110"/>
      <c r="M266" s="110"/>
      <c r="N266" s="110"/>
      <c r="O266" s="110"/>
      <c r="P266" s="110"/>
      <c r="Q266" s="110"/>
      <c r="R266" s="110"/>
      <c r="S266" s="110"/>
      <c r="T266" s="110"/>
      <c r="U266" s="110"/>
      <c r="V266" s="110"/>
      <c r="W266" s="110"/>
    </row>
    <row r="267" ht="15.75" customHeight="1">
      <c r="A267" s="85" t="s">
        <v>717</v>
      </c>
      <c r="B267" s="72">
        <v>1.0</v>
      </c>
      <c r="C267" s="115"/>
      <c r="D267" s="116" t="str">
        <f t="shared" ref="D267:J267" si="117">$B$267*$C$267*12*D124</f>
        <v>  -   </v>
      </c>
      <c r="E267" s="116" t="str">
        <f t="shared" si="117"/>
        <v>  -   </v>
      </c>
      <c r="F267" s="116" t="str">
        <f t="shared" si="117"/>
        <v>  -   </v>
      </c>
      <c r="G267" s="116" t="str">
        <f t="shared" si="117"/>
        <v>  -   </v>
      </c>
      <c r="H267" s="116" t="str">
        <f t="shared" si="117"/>
        <v>  -   </v>
      </c>
      <c r="I267" s="116" t="str">
        <f t="shared" si="117"/>
        <v>  -   </v>
      </c>
      <c r="J267" s="116" t="str">
        <f t="shared" si="117"/>
        <v>  -   </v>
      </c>
      <c r="K267" s="110"/>
      <c r="L267" s="110"/>
      <c r="M267" s="110"/>
      <c r="N267" s="110"/>
      <c r="O267" s="110"/>
      <c r="P267" s="110"/>
      <c r="Q267" s="110"/>
      <c r="R267" s="110"/>
      <c r="S267" s="110"/>
      <c r="T267" s="110"/>
      <c r="U267" s="110"/>
      <c r="V267" s="110"/>
      <c r="W267" s="110"/>
    </row>
    <row r="268" ht="15.75" customHeight="1">
      <c r="A268" s="85" t="s">
        <v>718</v>
      </c>
      <c r="B268" s="85">
        <v>12.0</v>
      </c>
      <c r="C268" s="115"/>
      <c r="D268" s="116" t="str">
        <f t="shared" ref="D268:J268" si="118">$B$268*$C$268*D124</f>
        <v>  -   </v>
      </c>
      <c r="E268" s="116" t="str">
        <f t="shared" si="118"/>
        <v>  -   </v>
      </c>
      <c r="F268" s="116" t="str">
        <f t="shared" si="118"/>
        <v>  -   </v>
      </c>
      <c r="G268" s="116" t="str">
        <f t="shared" si="118"/>
        <v>  -   </v>
      </c>
      <c r="H268" s="116" t="str">
        <f t="shared" si="118"/>
        <v>  -   </v>
      </c>
      <c r="I268" s="116" t="str">
        <f t="shared" si="118"/>
        <v>  -   </v>
      </c>
      <c r="J268" s="116" t="str">
        <f t="shared" si="118"/>
        <v>  -   </v>
      </c>
      <c r="K268" s="110"/>
      <c r="L268" s="110"/>
      <c r="M268" s="110"/>
      <c r="N268" s="110"/>
      <c r="O268" s="110"/>
      <c r="P268" s="110"/>
      <c r="Q268" s="110"/>
      <c r="R268" s="110"/>
      <c r="S268" s="110"/>
      <c r="T268" s="110"/>
      <c r="U268" s="110"/>
      <c r="V268" s="110"/>
      <c r="W268" s="110"/>
    </row>
    <row r="269" ht="15.75" customHeight="1">
      <c r="A269" s="85"/>
      <c r="B269" s="85"/>
      <c r="C269" s="115"/>
      <c r="D269" s="116"/>
      <c r="E269" s="116"/>
      <c r="F269" s="116"/>
      <c r="G269" s="116"/>
      <c r="H269" s="116"/>
      <c r="I269" s="116"/>
      <c r="J269" s="116"/>
      <c r="K269" s="110"/>
      <c r="L269" s="110"/>
      <c r="M269" s="110"/>
      <c r="N269" s="110"/>
      <c r="O269" s="110"/>
      <c r="P269" s="110"/>
      <c r="Q269" s="110"/>
      <c r="R269" s="110"/>
      <c r="S269" s="110"/>
      <c r="T269" s="110"/>
      <c r="U269" s="110"/>
      <c r="V269" s="110"/>
      <c r="W269" s="110"/>
    </row>
    <row r="270" ht="15.75" customHeight="1">
      <c r="A270" s="85"/>
      <c r="B270" s="85"/>
      <c r="C270" s="115"/>
      <c r="D270" s="116"/>
      <c r="E270" s="116"/>
      <c r="F270" s="116"/>
      <c r="G270" s="116"/>
      <c r="H270" s="116"/>
      <c r="I270" s="116"/>
      <c r="J270" s="116"/>
      <c r="K270" s="110"/>
      <c r="L270" s="110"/>
      <c r="M270" s="110"/>
      <c r="N270" s="110"/>
      <c r="O270" s="110"/>
      <c r="P270" s="110"/>
      <c r="Q270" s="110"/>
      <c r="R270" s="110"/>
      <c r="S270" s="110"/>
      <c r="T270" s="110"/>
      <c r="U270" s="110"/>
      <c r="V270" s="110"/>
      <c r="W270" s="110"/>
    </row>
    <row r="271" ht="15.75" customHeight="1">
      <c r="A271" s="85"/>
      <c r="B271" s="85"/>
      <c r="C271" s="115"/>
      <c r="D271" s="116"/>
      <c r="E271" s="116"/>
      <c r="F271" s="116"/>
      <c r="G271" s="116"/>
      <c r="H271" s="116"/>
      <c r="I271" s="116"/>
      <c r="J271" s="116"/>
      <c r="K271" s="110"/>
      <c r="L271" s="110"/>
      <c r="M271" s="110"/>
      <c r="N271" s="110"/>
      <c r="O271" s="110"/>
      <c r="P271" s="110"/>
      <c r="Q271" s="110"/>
      <c r="R271" s="110"/>
      <c r="S271" s="110"/>
      <c r="T271" s="110"/>
      <c r="U271" s="110"/>
      <c r="V271" s="110"/>
      <c r="W271" s="110"/>
    </row>
    <row r="272" ht="15.75" customHeight="1">
      <c r="A272" s="85"/>
      <c r="B272" s="85"/>
      <c r="C272" s="115"/>
      <c r="D272" s="116"/>
      <c r="E272" s="116"/>
      <c r="F272" s="116"/>
      <c r="G272" s="116"/>
      <c r="H272" s="116"/>
      <c r="I272" s="116"/>
      <c r="J272" s="116"/>
      <c r="K272" s="110"/>
      <c r="L272" s="110"/>
      <c r="M272" s="110"/>
      <c r="N272" s="110"/>
      <c r="O272" s="110"/>
      <c r="P272" s="110"/>
      <c r="Q272" s="110"/>
      <c r="R272" s="110"/>
      <c r="S272" s="110"/>
      <c r="T272" s="110"/>
      <c r="U272" s="110"/>
      <c r="V272" s="110"/>
      <c r="W272" s="110"/>
    </row>
    <row r="273" ht="15.75" customHeight="1">
      <c r="A273" s="117" t="s">
        <v>389</v>
      </c>
      <c r="B273" s="117"/>
      <c r="C273" s="118"/>
      <c r="D273" s="118" t="str">
        <f t="shared" ref="D273:J273" si="119">SUM(D265:D272)</f>
        <v>  -   </v>
      </c>
      <c r="E273" s="118" t="str">
        <f t="shared" si="119"/>
        <v>  -   </v>
      </c>
      <c r="F273" s="118" t="str">
        <f t="shared" si="119"/>
        <v>  -   </v>
      </c>
      <c r="G273" s="118" t="str">
        <f t="shared" si="119"/>
        <v>  -   </v>
      </c>
      <c r="H273" s="118" t="str">
        <f t="shared" si="119"/>
        <v>  -   </v>
      </c>
      <c r="I273" s="118" t="str">
        <f t="shared" si="119"/>
        <v>  -   </v>
      </c>
      <c r="J273" s="118" t="str">
        <f t="shared" si="119"/>
        <v>  -   </v>
      </c>
      <c r="K273" s="110"/>
      <c r="L273" s="110"/>
      <c r="M273" s="110"/>
      <c r="N273" s="110"/>
      <c r="O273" s="110"/>
      <c r="P273" s="110"/>
      <c r="Q273" s="110"/>
      <c r="R273" s="110"/>
      <c r="S273" s="110"/>
      <c r="T273" s="110"/>
      <c r="U273" s="110"/>
      <c r="V273" s="110"/>
      <c r="W273" s="110"/>
    </row>
    <row r="274" ht="15.75" customHeight="1">
      <c r="A274" s="362" t="s">
        <v>719</v>
      </c>
      <c r="B274" s="362"/>
      <c r="C274" s="372"/>
      <c r="D274" s="118" t="str">
        <f t="shared" ref="D274:J274" si="120">D262+D273</f>
        <v>  -   </v>
      </c>
      <c r="E274" s="118" t="str">
        <f t="shared" si="120"/>
        <v>  -   </v>
      </c>
      <c r="F274" s="118" t="str">
        <f t="shared" si="120"/>
        <v>  -   </v>
      </c>
      <c r="G274" s="118" t="str">
        <f t="shared" si="120"/>
        <v>  -   </v>
      </c>
      <c r="H274" s="118" t="str">
        <f t="shared" si="120"/>
        <v>  -   </v>
      </c>
      <c r="I274" s="118" t="str">
        <f t="shared" si="120"/>
        <v>  -   </v>
      </c>
      <c r="J274" s="118" t="str">
        <f t="shared" si="120"/>
        <v>  -   </v>
      </c>
      <c r="K274" s="110"/>
      <c r="L274" s="110"/>
      <c r="M274" s="110"/>
      <c r="N274" s="110"/>
      <c r="O274" s="110"/>
      <c r="P274" s="110"/>
      <c r="Q274" s="110"/>
      <c r="R274" s="110"/>
      <c r="S274" s="110"/>
      <c r="T274" s="110"/>
      <c r="U274" s="110"/>
      <c r="V274" s="110"/>
      <c r="W274" s="110"/>
    </row>
    <row r="275" ht="15.75" customHeight="1">
      <c r="A275" s="85"/>
      <c r="B275" s="85"/>
      <c r="C275" s="116"/>
      <c r="D275" s="116"/>
      <c r="E275" s="116"/>
      <c r="F275" s="116"/>
      <c r="G275" s="116"/>
      <c r="H275" s="116"/>
      <c r="I275" s="116"/>
      <c r="J275" s="116"/>
      <c r="K275" s="110"/>
      <c r="L275" s="110"/>
      <c r="M275" s="110"/>
      <c r="N275" s="110"/>
      <c r="O275" s="110"/>
      <c r="P275" s="110"/>
      <c r="Q275" s="110"/>
      <c r="R275" s="110"/>
      <c r="S275" s="110"/>
      <c r="T275" s="110"/>
      <c r="U275" s="110"/>
      <c r="V275" s="110"/>
      <c r="W275" s="110"/>
    </row>
    <row r="276" ht="15.75" customHeight="1">
      <c r="A276" s="362" t="s">
        <v>434</v>
      </c>
      <c r="B276" s="362"/>
      <c r="C276" s="372"/>
      <c r="D276" s="118" t="str">
        <f t="shared" ref="D276:J276" si="121">D191-D274</f>
        <v>  -   </v>
      </c>
      <c r="E276" s="118" t="str">
        <f t="shared" si="121"/>
        <v>  -   </v>
      </c>
      <c r="F276" s="118" t="str">
        <f t="shared" si="121"/>
        <v>  -   </v>
      </c>
      <c r="G276" s="118" t="str">
        <f t="shared" si="121"/>
        <v>  -   </v>
      </c>
      <c r="H276" s="118" t="str">
        <f t="shared" si="121"/>
        <v>  -   </v>
      </c>
      <c r="I276" s="118" t="str">
        <f t="shared" si="121"/>
        <v>  -   </v>
      </c>
      <c r="J276" s="118" t="str">
        <f t="shared" si="121"/>
        <v>  -   </v>
      </c>
      <c r="K276" s="110"/>
      <c r="L276" s="110"/>
      <c r="M276" s="110"/>
      <c r="N276" s="110"/>
      <c r="O276" s="110"/>
      <c r="P276" s="110"/>
      <c r="Q276" s="110"/>
      <c r="R276" s="110"/>
      <c r="S276" s="110"/>
      <c r="T276" s="110"/>
      <c r="U276" s="110"/>
      <c r="V276" s="110"/>
      <c r="W276" s="110"/>
    </row>
    <row r="277" ht="15.75" customHeight="1">
      <c r="A277" s="275"/>
      <c r="B277" s="275"/>
      <c r="C277" s="275"/>
      <c r="D277" s="110"/>
      <c r="E277" s="110"/>
      <c r="F277" s="110"/>
      <c r="G277" s="110"/>
      <c r="H277" s="110"/>
      <c r="I277" s="110"/>
      <c r="J277" s="110"/>
      <c r="K277" s="110"/>
      <c r="L277" s="110"/>
      <c r="M277" s="110"/>
      <c r="N277" s="110"/>
      <c r="O277" s="110"/>
      <c r="P277" s="110"/>
      <c r="Q277" s="110"/>
      <c r="R277" s="110"/>
      <c r="S277" s="110"/>
      <c r="T277" s="110"/>
      <c r="U277" s="110"/>
      <c r="V277" s="110"/>
      <c r="W277" s="110"/>
    </row>
    <row r="278" ht="15.75" customHeight="1">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row>
    <row r="279" ht="15.75" customHeight="1">
      <c r="A279" s="45" t="s">
        <v>720</v>
      </c>
    </row>
    <row r="280" ht="15.75" customHeight="1"/>
    <row r="281" ht="15.75" customHeight="1">
      <c r="A281" t="s">
        <v>338</v>
      </c>
    </row>
    <row r="282" ht="15.75" customHeight="1">
      <c r="A282">
        <v>1.0</v>
      </c>
      <c r="B282" t="s">
        <v>630</v>
      </c>
    </row>
    <row r="283" ht="15.75" customHeight="1">
      <c r="A283">
        <v>2.0</v>
      </c>
      <c r="B283" t="s">
        <v>631</v>
      </c>
    </row>
    <row r="284" ht="15.75" customHeight="1">
      <c r="A284">
        <v>3.0</v>
      </c>
      <c r="B284" s="110" t="s">
        <v>632</v>
      </c>
    </row>
  </sheetData>
  <mergeCells count="3">
    <mergeCell ref="A122:J122"/>
    <mergeCell ref="A2:I2"/>
    <mergeCell ref="A279:J279"/>
  </mergeCells>
  <printOptions/>
  <pageMargins bottom="0.75" footer="0.0" header="0.0" left="0.7" right="0.7" top="0.75"/>
  <pageSetup orientation="portrait"/>
  <rowBreaks count="2" manualBreakCount="2">
    <brk id="84" man="1"/>
    <brk id="238" man="1"/>
  </rowBreaks>
  <colBreaks count="1" manualBreakCount="1">
    <brk id="10" man="1"/>
  </colBreaks>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71"/>
    <col customWidth="1" min="2" max="2" width="11.57"/>
    <col customWidth="1" min="3" max="3" width="12.57"/>
    <col customWidth="1" min="4" max="4" width="15.14"/>
    <col customWidth="1" min="5" max="8" width="17.29"/>
    <col customWidth="1" min="9" max="10" width="16.86"/>
    <col customWidth="1" min="11" max="11" width="8.71"/>
  </cols>
  <sheetData>
    <row r="3">
      <c r="A3" s="26" t="s">
        <v>721</v>
      </c>
    </row>
    <row r="4">
      <c r="A4" s="26" t="s">
        <v>722</v>
      </c>
    </row>
    <row r="5">
      <c r="A5" s="110" t="s">
        <v>139</v>
      </c>
      <c r="B5" s="344">
        <v>1.0</v>
      </c>
      <c r="C5" s="110" t="s">
        <v>635</v>
      </c>
      <c r="D5" s="110"/>
      <c r="E5" s="110"/>
      <c r="F5" s="110"/>
      <c r="G5" s="110"/>
      <c r="H5" s="110"/>
    </row>
    <row r="6">
      <c r="A6" s="110" t="s">
        <v>603</v>
      </c>
      <c r="B6" s="167">
        <v>8.0</v>
      </c>
      <c r="C6" s="110"/>
      <c r="D6" s="110"/>
      <c r="E6" s="110"/>
      <c r="F6" s="110"/>
      <c r="G6" s="110"/>
      <c r="H6" s="110"/>
    </row>
    <row r="7">
      <c r="A7" s="110"/>
      <c r="B7" s="167"/>
      <c r="C7" s="110"/>
      <c r="D7" s="110"/>
      <c r="E7" s="110"/>
      <c r="F7" s="110"/>
      <c r="G7" s="110"/>
      <c r="H7" s="110"/>
    </row>
    <row r="8">
      <c r="A8" s="110"/>
      <c r="B8" s="167"/>
      <c r="C8" s="110"/>
      <c r="D8" s="110"/>
      <c r="E8" s="110"/>
      <c r="F8" s="110"/>
      <c r="G8" s="110"/>
      <c r="H8" s="110"/>
    </row>
    <row r="9">
      <c r="A9" s="110"/>
      <c r="B9" s="110"/>
      <c r="C9" s="110"/>
      <c r="D9" s="110"/>
      <c r="E9" s="110"/>
      <c r="F9" s="110"/>
      <c r="G9" s="110"/>
      <c r="H9" s="110"/>
    </row>
    <row r="10">
      <c r="A10" s="110"/>
      <c r="B10" s="110"/>
      <c r="C10" s="110"/>
      <c r="D10" s="110"/>
      <c r="E10" s="110"/>
      <c r="F10" s="110"/>
      <c r="G10" s="110"/>
      <c r="H10" s="110"/>
    </row>
    <row r="11">
      <c r="A11" s="176" t="s">
        <v>174</v>
      </c>
      <c r="B11" s="177" t="s">
        <v>177</v>
      </c>
      <c r="C11" s="177" t="s">
        <v>178</v>
      </c>
      <c r="D11" s="177" t="s">
        <v>179</v>
      </c>
      <c r="E11" s="177" t="s">
        <v>180</v>
      </c>
      <c r="F11" s="177" t="s">
        <v>181</v>
      </c>
      <c r="G11" s="177" t="s">
        <v>182</v>
      </c>
      <c r="H11" s="177" t="s">
        <v>183</v>
      </c>
    </row>
    <row r="12">
      <c r="A12" s="85" t="s">
        <v>637</v>
      </c>
      <c r="B12" s="358" t="str">
        <f t="shared" ref="B12:H12" si="1">B39/($B$5*$B$6)</f>
        <v>0</v>
      </c>
      <c r="C12" s="358" t="str">
        <f t="shared" si="1"/>
        <v>0</v>
      </c>
      <c r="D12" s="358" t="str">
        <f t="shared" si="1"/>
        <v>0</v>
      </c>
      <c r="E12" s="358" t="str">
        <f t="shared" si="1"/>
        <v>0</v>
      </c>
      <c r="F12" s="358" t="str">
        <f t="shared" si="1"/>
        <v>0</v>
      </c>
      <c r="G12" s="358" t="str">
        <f t="shared" si="1"/>
        <v>0</v>
      </c>
      <c r="H12" s="358" t="str">
        <f t="shared" si="1"/>
        <v>0</v>
      </c>
    </row>
    <row r="13">
      <c r="A13" s="85" t="str">
        <f>'11.F&amp;V Crop Production details'!A74</f>
        <v>Onion</v>
      </c>
      <c r="B13" s="85" t="str">
        <f>'11.F&amp;V Crop Production details'!B74</f>
        <v>0</v>
      </c>
      <c r="C13" s="85" t="str">
        <f>'11.F&amp;V Crop Production details'!C74</f>
        <v>0</v>
      </c>
      <c r="D13" s="85" t="str">
        <f>'11.F&amp;V Crop Production details'!D74</f>
        <v>0</v>
      </c>
      <c r="E13" s="85" t="str">
        <f>'11.F&amp;V Crop Production details'!E74</f>
        <v>0</v>
      </c>
      <c r="F13" s="85" t="str">
        <f>'11.F&amp;V Crop Production details'!F74</f>
        <v>0</v>
      </c>
      <c r="G13" s="85" t="str">
        <f>'11.F&amp;V Crop Production details'!G74</f>
        <v>0</v>
      </c>
      <c r="H13" s="85" t="str">
        <f>'11.F&amp;V Crop Production details'!H74</f>
        <v>0</v>
      </c>
    </row>
    <row r="14">
      <c r="A14" s="85" t="str">
        <f>'11.F&amp;V Crop Production details'!A75</f>
        <v>Tomato</v>
      </c>
      <c r="B14" s="85" t="str">
        <f>'11.F&amp;V Crop Production details'!B75</f>
        <v>0</v>
      </c>
      <c r="C14" s="85" t="str">
        <f>'11.F&amp;V Crop Production details'!C75</f>
        <v>0</v>
      </c>
      <c r="D14" s="85" t="str">
        <f>'11.F&amp;V Crop Production details'!D75</f>
        <v>0</v>
      </c>
      <c r="E14" s="85" t="str">
        <f>'11.F&amp;V Crop Production details'!E75</f>
        <v>0</v>
      </c>
      <c r="F14" s="85" t="str">
        <f>'11.F&amp;V Crop Production details'!F75</f>
        <v>0</v>
      </c>
      <c r="G14" s="85" t="str">
        <f>'11.F&amp;V Crop Production details'!G75</f>
        <v>0</v>
      </c>
      <c r="H14" s="85" t="str">
        <f>'11.F&amp;V Crop Production details'!H75</f>
        <v>0</v>
      </c>
    </row>
    <row r="15">
      <c r="A15" s="85" t="str">
        <f>'11.F&amp;V Crop Production details'!A76</f>
        <v>Okra</v>
      </c>
      <c r="B15" s="85" t="str">
        <f>'11.F&amp;V Crop Production details'!B76</f>
        <v>0</v>
      </c>
      <c r="C15" s="85" t="str">
        <f>'11.F&amp;V Crop Production details'!C76</f>
        <v>0</v>
      </c>
      <c r="D15" s="85" t="str">
        <f>'11.F&amp;V Crop Production details'!D76</f>
        <v>0</v>
      </c>
      <c r="E15" s="85" t="str">
        <f>'11.F&amp;V Crop Production details'!E76</f>
        <v>0</v>
      </c>
      <c r="F15" s="85" t="str">
        <f>'11.F&amp;V Crop Production details'!F76</f>
        <v>0</v>
      </c>
      <c r="G15" s="85" t="str">
        <f>'11.F&amp;V Crop Production details'!G76</f>
        <v>0</v>
      </c>
      <c r="H15" s="85" t="str">
        <f>'11.F&amp;V Crop Production details'!H76</f>
        <v>0</v>
      </c>
    </row>
    <row r="16">
      <c r="A16" s="85" t="str">
        <f>'11.F&amp;V Crop Production details'!A77</f>
        <v>Chilli</v>
      </c>
      <c r="B16" s="85" t="str">
        <f>'11.F&amp;V Crop Production details'!B77</f>
        <v>0</v>
      </c>
      <c r="C16" s="85" t="str">
        <f>'11.F&amp;V Crop Production details'!C77</f>
        <v>0</v>
      </c>
      <c r="D16" s="85" t="str">
        <f>'11.F&amp;V Crop Production details'!D77</f>
        <v>0</v>
      </c>
      <c r="E16" s="85" t="str">
        <f>'11.F&amp;V Crop Production details'!E77</f>
        <v>0</v>
      </c>
      <c r="F16" s="85" t="str">
        <f>'11.F&amp;V Crop Production details'!F77</f>
        <v>0</v>
      </c>
      <c r="G16" s="85" t="str">
        <f>'11.F&amp;V Crop Production details'!G77</f>
        <v>0</v>
      </c>
      <c r="H16" s="85" t="str">
        <f>'11.F&amp;V Crop Production details'!H77</f>
        <v>0</v>
      </c>
    </row>
    <row r="17">
      <c r="A17" s="85" t="str">
        <f>'11.F&amp;V Crop Production details'!A78</f>
        <v>Potato</v>
      </c>
      <c r="B17" s="85" t="str">
        <f>'11.F&amp;V Crop Production details'!B78</f>
        <v>0</v>
      </c>
      <c r="C17" s="85" t="str">
        <f>'11.F&amp;V Crop Production details'!C78</f>
        <v>0</v>
      </c>
      <c r="D17" s="85" t="str">
        <f>'11.F&amp;V Crop Production details'!D78</f>
        <v>0</v>
      </c>
      <c r="E17" s="85" t="str">
        <f>'11.F&amp;V Crop Production details'!E78</f>
        <v>0</v>
      </c>
      <c r="F17" s="85" t="str">
        <f>'11.F&amp;V Crop Production details'!F78</f>
        <v>0</v>
      </c>
      <c r="G17" s="85" t="str">
        <f>'11.F&amp;V Crop Production details'!G78</f>
        <v>0</v>
      </c>
      <c r="H17" s="85" t="str">
        <f>'11.F&amp;V Crop Production details'!H78</f>
        <v>0</v>
      </c>
    </row>
    <row r="18">
      <c r="A18" s="85" t="str">
        <f>'11.F&amp;V Crop Production details'!A79</f>
        <v/>
      </c>
      <c r="B18" s="85" t="str">
        <f>'11.F&amp;V Crop Production details'!B79</f>
        <v>0</v>
      </c>
      <c r="C18" s="85" t="str">
        <f>'11.F&amp;V Crop Production details'!C79</f>
        <v>0</v>
      </c>
      <c r="D18" s="85" t="str">
        <f>'11.F&amp;V Crop Production details'!D79</f>
        <v>0</v>
      </c>
      <c r="E18" s="85" t="str">
        <f>'11.F&amp;V Crop Production details'!E79</f>
        <v>0</v>
      </c>
      <c r="F18" s="85" t="str">
        <f>'11.F&amp;V Crop Production details'!F79</f>
        <v>0</v>
      </c>
      <c r="G18" s="85" t="str">
        <f>'11.F&amp;V Crop Production details'!G79</f>
        <v>0</v>
      </c>
      <c r="H18" s="85" t="str">
        <f>'11.F&amp;V Crop Production details'!H79</f>
        <v>0</v>
      </c>
    </row>
    <row r="19">
      <c r="A19" s="85" t="str">
        <f>'11.F&amp;V Crop Production details'!A80</f>
        <v/>
      </c>
      <c r="B19" s="85" t="str">
        <f>'11.F&amp;V Crop Production details'!B80</f>
        <v>0</v>
      </c>
      <c r="C19" s="85" t="str">
        <f>'11.F&amp;V Crop Production details'!C80</f>
        <v>0</v>
      </c>
      <c r="D19" s="85" t="str">
        <f>'11.F&amp;V Crop Production details'!D80</f>
        <v>0</v>
      </c>
      <c r="E19" s="85" t="str">
        <f>'11.F&amp;V Crop Production details'!E80</f>
        <v>0</v>
      </c>
      <c r="F19" s="85" t="str">
        <f>'11.F&amp;V Crop Production details'!F80</f>
        <v>0</v>
      </c>
      <c r="G19" s="85" t="str">
        <f>'11.F&amp;V Crop Production details'!G80</f>
        <v>0</v>
      </c>
      <c r="H19" s="85" t="str">
        <f>'11.F&amp;V Crop Production details'!H80</f>
        <v>0</v>
      </c>
    </row>
    <row r="20">
      <c r="A20" s="85" t="str">
        <f>'11.F&amp;V Crop Production details'!A81</f>
        <v/>
      </c>
      <c r="B20" s="85" t="str">
        <f>'11.F&amp;V Crop Production details'!B81</f>
        <v>0</v>
      </c>
      <c r="C20" s="85" t="str">
        <f>'11.F&amp;V Crop Production details'!C81</f>
        <v>0</v>
      </c>
      <c r="D20" s="85" t="str">
        <f>'11.F&amp;V Crop Production details'!D81</f>
        <v>0</v>
      </c>
      <c r="E20" s="85" t="str">
        <f>'11.F&amp;V Crop Production details'!E81</f>
        <v>0</v>
      </c>
      <c r="F20" s="85" t="str">
        <f>'11.F&amp;V Crop Production details'!F81</f>
        <v>0</v>
      </c>
      <c r="G20" s="85" t="str">
        <f>'11.F&amp;V Crop Production details'!G81</f>
        <v>0</v>
      </c>
      <c r="H20" s="85" t="str">
        <f>'11.F&amp;V Crop Production details'!H81</f>
        <v>0</v>
      </c>
    </row>
    <row r="21" ht="15.75" customHeight="1">
      <c r="A21" s="85" t="str">
        <f>'11.F&amp;V Crop Production details'!A82</f>
        <v/>
      </c>
      <c r="B21" s="85" t="str">
        <f>'11.F&amp;V Crop Production details'!B82</f>
        <v>0</v>
      </c>
      <c r="C21" s="85" t="str">
        <f>'11.F&amp;V Crop Production details'!C82</f>
        <v>0</v>
      </c>
      <c r="D21" s="85" t="str">
        <f>'11.F&amp;V Crop Production details'!D82</f>
        <v>0</v>
      </c>
      <c r="E21" s="85" t="str">
        <f>'11.F&amp;V Crop Production details'!E82</f>
        <v>0</v>
      </c>
      <c r="F21" s="85" t="str">
        <f>'11.F&amp;V Crop Production details'!F82</f>
        <v>0</v>
      </c>
      <c r="G21" s="85" t="str">
        <f>'11.F&amp;V Crop Production details'!G82</f>
        <v>0</v>
      </c>
      <c r="H21" s="85" t="str">
        <f>'11.F&amp;V Crop Production details'!H82</f>
        <v>0</v>
      </c>
    </row>
    <row r="22" ht="15.75" customHeight="1">
      <c r="A22" s="85" t="str">
        <f>'11.F&amp;V Crop Production details'!A83</f>
        <v>Onion</v>
      </c>
      <c r="B22" s="85" t="str">
        <f>'11.F&amp;V Crop Production details'!B83</f>
        <v>0</v>
      </c>
      <c r="C22" s="85" t="str">
        <f>'11.F&amp;V Crop Production details'!C83</f>
        <v>0</v>
      </c>
      <c r="D22" s="85" t="str">
        <f>'11.F&amp;V Crop Production details'!D83</f>
        <v>0</v>
      </c>
      <c r="E22" s="85" t="str">
        <f>'11.F&amp;V Crop Production details'!E83</f>
        <v>0</v>
      </c>
      <c r="F22" s="85" t="str">
        <f>'11.F&amp;V Crop Production details'!F83</f>
        <v>0</v>
      </c>
      <c r="G22" s="85" t="str">
        <f>'11.F&amp;V Crop Production details'!G83</f>
        <v>0</v>
      </c>
      <c r="H22" s="85" t="str">
        <f>'11.F&amp;V Crop Production details'!H83</f>
        <v>0</v>
      </c>
    </row>
    <row r="23" ht="15.75" customHeight="1">
      <c r="A23" s="85" t="str">
        <f>'11.F&amp;V Crop Production details'!A84</f>
        <v>Tomato</v>
      </c>
      <c r="B23" s="85" t="str">
        <f>'11.F&amp;V Crop Production details'!B84</f>
        <v>0</v>
      </c>
      <c r="C23" s="85" t="str">
        <f>'11.F&amp;V Crop Production details'!C84</f>
        <v>0</v>
      </c>
      <c r="D23" s="85" t="str">
        <f>'11.F&amp;V Crop Production details'!D84</f>
        <v>0</v>
      </c>
      <c r="E23" s="85" t="str">
        <f>'11.F&amp;V Crop Production details'!E84</f>
        <v>0</v>
      </c>
      <c r="F23" s="85" t="str">
        <f>'11.F&amp;V Crop Production details'!F84</f>
        <v>0</v>
      </c>
      <c r="G23" s="85" t="str">
        <f>'11.F&amp;V Crop Production details'!G84</f>
        <v>0</v>
      </c>
      <c r="H23" s="85" t="str">
        <f>'11.F&amp;V Crop Production details'!H84</f>
        <v>0</v>
      </c>
    </row>
    <row r="24" ht="15.75" customHeight="1">
      <c r="A24" s="85" t="str">
        <f>'11.F&amp;V Crop Production details'!A85</f>
        <v>Okra</v>
      </c>
      <c r="B24" s="85" t="str">
        <f>'11.F&amp;V Crop Production details'!B85</f>
        <v>0</v>
      </c>
      <c r="C24" s="85" t="str">
        <f>'11.F&amp;V Crop Production details'!C85</f>
        <v>0</v>
      </c>
      <c r="D24" s="85" t="str">
        <f>'11.F&amp;V Crop Production details'!D85</f>
        <v>0</v>
      </c>
      <c r="E24" s="85" t="str">
        <f>'11.F&amp;V Crop Production details'!E85</f>
        <v>0</v>
      </c>
      <c r="F24" s="85" t="str">
        <f>'11.F&amp;V Crop Production details'!F85</f>
        <v>0</v>
      </c>
      <c r="G24" s="85" t="str">
        <f>'11.F&amp;V Crop Production details'!G85</f>
        <v>0</v>
      </c>
      <c r="H24" s="85" t="str">
        <f>'11.F&amp;V Crop Production details'!H85</f>
        <v>0</v>
      </c>
    </row>
    <row r="25" ht="15.75" customHeight="1">
      <c r="A25" s="85" t="str">
        <f>'11.F&amp;V Crop Production details'!A86</f>
        <v>Chilli</v>
      </c>
      <c r="B25" s="85" t="str">
        <f>'11.F&amp;V Crop Production details'!B86</f>
        <v>0</v>
      </c>
      <c r="C25" s="85" t="str">
        <f>'11.F&amp;V Crop Production details'!C86</f>
        <v>0</v>
      </c>
      <c r="D25" s="85" t="str">
        <f>'11.F&amp;V Crop Production details'!D86</f>
        <v>0</v>
      </c>
      <c r="E25" s="85" t="str">
        <f>'11.F&amp;V Crop Production details'!E86</f>
        <v>0</v>
      </c>
      <c r="F25" s="85" t="str">
        <f>'11.F&amp;V Crop Production details'!F86</f>
        <v>0</v>
      </c>
      <c r="G25" s="85" t="str">
        <f>'11.F&amp;V Crop Production details'!G86</f>
        <v>0</v>
      </c>
      <c r="H25" s="85" t="str">
        <f>'11.F&amp;V Crop Production details'!H86</f>
        <v>0</v>
      </c>
    </row>
    <row r="26" ht="15.75" customHeight="1">
      <c r="A26" s="85" t="str">
        <f>'11.F&amp;V Crop Production details'!A87</f>
        <v>Brinjal</v>
      </c>
      <c r="B26" s="85" t="str">
        <f>'11.F&amp;V Crop Production details'!B87</f>
        <v>0</v>
      </c>
      <c r="C26" s="85" t="str">
        <f>'11.F&amp;V Crop Production details'!C87</f>
        <v>0</v>
      </c>
      <c r="D26" s="85" t="str">
        <f>'11.F&amp;V Crop Production details'!D87</f>
        <v>0</v>
      </c>
      <c r="E26" s="85" t="str">
        <f>'11.F&amp;V Crop Production details'!E87</f>
        <v>0</v>
      </c>
      <c r="F26" s="85" t="str">
        <f>'11.F&amp;V Crop Production details'!F87</f>
        <v>0</v>
      </c>
      <c r="G26" s="85" t="str">
        <f>'11.F&amp;V Crop Production details'!G87</f>
        <v>0</v>
      </c>
      <c r="H26" s="85" t="str">
        <f>'11.F&amp;V Crop Production details'!H87</f>
        <v>0</v>
      </c>
    </row>
    <row r="27" ht="15.75" customHeight="1">
      <c r="A27" s="85" t="str">
        <f>'11.F&amp;V Crop Production details'!A88</f>
        <v/>
      </c>
      <c r="B27" s="85" t="str">
        <f>'11.F&amp;V Crop Production details'!B88</f>
        <v>0</v>
      </c>
      <c r="C27" s="85" t="str">
        <f>'11.F&amp;V Crop Production details'!C88</f>
        <v>0</v>
      </c>
      <c r="D27" s="85" t="str">
        <f>'11.F&amp;V Crop Production details'!D88</f>
        <v>0</v>
      </c>
      <c r="E27" s="85" t="str">
        <f>'11.F&amp;V Crop Production details'!E88</f>
        <v>0</v>
      </c>
      <c r="F27" s="85" t="str">
        <f>'11.F&amp;V Crop Production details'!F88</f>
        <v>0</v>
      </c>
      <c r="G27" s="85" t="str">
        <f>'11.F&amp;V Crop Production details'!G88</f>
        <v>0</v>
      </c>
      <c r="H27" s="85" t="str">
        <f>'11.F&amp;V Crop Production details'!H88</f>
        <v>0</v>
      </c>
    </row>
    <row r="28" ht="15.75" customHeight="1">
      <c r="A28" s="85" t="str">
        <f>'11.F&amp;V Crop Production details'!A89</f>
        <v/>
      </c>
      <c r="B28" s="85" t="str">
        <f>'11.F&amp;V Crop Production details'!B89</f>
        <v>0</v>
      </c>
      <c r="C28" s="85" t="str">
        <f>'11.F&amp;V Crop Production details'!C89</f>
        <v>0</v>
      </c>
      <c r="D28" s="85" t="str">
        <f>'11.F&amp;V Crop Production details'!D89</f>
        <v>0</v>
      </c>
      <c r="E28" s="85" t="str">
        <f>'11.F&amp;V Crop Production details'!E89</f>
        <v>0</v>
      </c>
      <c r="F28" s="85" t="str">
        <f>'11.F&amp;V Crop Production details'!F89</f>
        <v>0</v>
      </c>
      <c r="G28" s="85" t="str">
        <f>'11.F&amp;V Crop Production details'!G89</f>
        <v>0</v>
      </c>
      <c r="H28" s="85" t="str">
        <f>'11.F&amp;V Crop Production details'!H89</f>
        <v>0</v>
      </c>
    </row>
    <row r="29" ht="15.75" customHeight="1">
      <c r="A29" s="85" t="str">
        <f>'11.F&amp;V Crop Production details'!A90</f>
        <v/>
      </c>
      <c r="B29" s="85" t="str">
        <f>'11.F&amp;V Crop Production details'!B90</f>
        <v>0</v>
      </c>
      <c r="C29" s="85" t="str">
        <f>'11.F&amp;V Crop Production details'!C90</f>
        <v>0</v>
      </c>
      <c r="D29" s="85" t="str">
        <f>'11.F&amp;V Crop Production details'!D90</f>
        <v>0</v>
      </c>
      <c r="E29" s="85" t="str">
        <f>'11.F&amp;V Crop Production details'!E90</f>
        <v>0</v>
      </c>
      <c r="F29" s="85" t="str">
        <f>'11.F&amp;V Crop Production details'!F90</f>
        <v>0</v>
      </c>
      <c r="G29" s="85" t="str">
        <f>'11.F&amp;V Crop Production details'!G90</f>
        <v>0</v>
      </c>
      <c r="H29" s="85" t="str">
        <f>'11.F&amp;V Crop Production details'!H90</f>
        <v>0</v>
      </c>
    </row>
    <row r="30" ht="15.75" customHeight="1">
      <c r="A30" s="85" t="str">
        <f>'11.F&amp;V Crop Production details'!A91</f>
        <v/>
      </c>
      <c r="B30" s="85" t="str">
        <f>'11.F&amp;V Crop Production details'!B91</f>
        <v>0</v>
      </c>
      <c r="C30" s="85" t="str">
        <f>'11.F&amp;V Crop Production details'!C91</f>
        <v>0</v>
      </c>
      <c r="D30" s="85" t="str">
        <f>'11.F&amp;V Crop Production details'!D91</f>
        <v>0</v>
      </c>
      <c r="E30" s="85" t="str">
        <f>'11.F&amp;V Crop Production details'!E91</f>
        <v>0</v>
      </c>
      <c r="F30" s="85" t="str">
        <f>'11.F&amp;V Crop Production details'!F91</f>
        <v>0</v>
      </c>
      <c r="G30" s="85" t="str">
        <f>'11.F&amp;V Crop Production details'!G91</f>
        <v>0</v>
      </c>
      <c r="H30" s="85" t="str">
        <f>'11.F&amp;V Crop Production details'!H91</f>
        <v>0</v>
      </c>
    </row>
    <row r="31" ht="15.75" customHeight="1">
      <c r="A31" s="85" t="str">
        <f>'11.F&amp;V Crop Production details'!A92</f>
        <v/>
      </c>
      <c r="B31" s="85" t="str">
        <f>'11.F&amp;V Crop Production details'!B92</f>
        <v>0</v>
      </c>
      <c r="C31" s="85" t="str">
        <f>'11.F&amp;V Crop Production details'!C92</f>
        <v>0</v>
      </c>
      <c r="D31" s="85" t="str">
        <f>'11.F&amp;V Crop Production details'!D92</f>
        <v>0</v>
      </c>
      <c r="E31" s="85" t="str">
        <f>'11.F&amp;V Crop Production details'!E92</f>
        <v>0</v>
      </c>
      <c r="F31" s="85" t="str">
        <f>'11.F&amp;V Crop Production details'!F92</f>
        <v>0</v>
      </c>
      <c r="G31" s="85" t="str">
        <f>'11.F&amp;V Crop Production details'!G92</f>
        <v>0</v>
      </c>
      <c r="H31" s="85" t="str">
        <f>'11.F&amp;V Crop Production details'!H92</f>
        <v/>
      </c>
    </row>
    <row r="32" ht="15.75" customHeight="1">
      <c r="A32" s="85" t="str">
        <f>'11.F&amp;V Crop Production details'!A93</f>
        <v/>
      </c>
      <c r="B32" s="85" t="str">
        <f>'11.F&amp;V Crop Production details'!B93</f>
        <v>0</v>
      </c>
      <c r="C32" s="85" t="str">
        <f>'11.F&amp;V Crop Production details'!C93</f>
        <v>0</v>
      </c>
      <c r="D32" s="85" t="str">
        <f>'11.F&amp;V Crop Production details'!D93</f>
        <v>0</v>
      </c>
      <c r="E32" s="85" t="str">
        <f>'11.F&amp;V Crop Production details'!E93</f>
        <v>0</v>
      </c>
      <c r="F32" s="85" t="str">
        <f>'11.F&amp;V Crop Production details'!F93</f>
        <v>0</v>
      </c>
      <c r="G32" s="85" t="str">
        <f>'11.F&amp;V Crop Production details'!G93</f>
        <v>0</v>
      </c>
      <c r="H32" s="85" t="str">
        <f>'11.F&amp;V Crop Production details'!H93</f>
        <v/>
      </c>
    </row>
    <row r="33" ht="15.75" customHeight="1">
      <c r="A33" s="85" t="str">
        <f>'11.F&amp;V Crop Production details'!A94</f>
        <v/>
      </c>
      <c r="B33" s="85" t="str">
        <f>'11.F&amp;V Crop Production details'!B94</f>
        <v>0</v>
      </c>
      <c r="C33" s="85" t="str">
        <f>'11.F&amp;V Crop Production details'!C94</f>
        <v>0</v>
      </c>
      <c r="D33" s="85" t="str">
        <f>'11.F&amp;V Crop Production details'!D94</f>
        <v>0</v>
      </c>
      <c r="E33" s="85" t="str">
        <f>'11.F&amp;V Crop Production details'!E94</f>
        <v>0</v>
      </c>
      <c r="F33" s="85" t="str">
        <f>'11.F&amp;V Crop Production details'!F94</f>
        <v>0</v>
      </c>
      <c r="G33" s="85" t="str">
        <f>'11.F&amp;V Crop Production details'!G94</f>
        <v>0</v>
      </c>
      <c r="H33" s="85" t="str">
        <f>'11.F&amp;V Crop Production details'!H94</f>
        <v/>
      </c>
    </row>
    <row r="34" ht="15.75" customHeight="1">
      <c r="A34" s="85" t="str">
        <f>'11.F&amp;V Crop Production details'!A95</f>
        <v>Pomegranate</v>
      </c>
      <c r="B34" s="85" t="str">
        <f>'11.F&amp;V Crop Production details'!B95</f>
        <v>0</v>
      </c>
      <c r="C34" s="85" t="str">
        <f>'11.F&amp;V Crop Production details'!C95</f>
        <v>0</v>
      </c>
      <c r="D34" s="85" t="str">
        <f>'11.F&amp;V Crop Production details'!D95</f>
        <v>0</v>
      </c>
      <c r="E34" s="85" t="str">
        <f>'11.F&amp;V Crop Production details'!E95</f>
        <v>0</v>
      </c>
      <c r="F34" s="85" t="str">
        <f>'11.F&amp;V Crop Production details'!F95</f>
        <v>0</v>
      </c>
      <c r="G34" s="85" t="str">
        <f>'11.F&amp;V Crop Production details'!G95</f>
        <v>0</v>
      </c>
      <c r="H34" s="85" t="str">
        <f>'11.F&amp;V Crop Production details'!H95</f>
        <v>0</v>
      </c>
    </row>
    <row r="35" ht="15.75" customHeight="1">
      <c r="A35" s="85" t="str">
        <f>'11.F&amp;V Crop Production details'!A96</f>
        <v>Custard Apple</v>
      </c>
      <c r="B35" s="85" t="str">
        <f>'11.F&amp;V Crop Production details'!B96</f>
        <v>0</v>
      </c>
      <c r="C35" s="85" t="str">
        <f>'11.F&amp;V Crop Production details'!C96</f>
        <v>0</v>
      </c>
      <c r="D35" s="85" t="str">
        <f>'11.F&amp;V Crop Production details'!D96</f>
        <v>0</v>
      </c>
      <c r="E35" s="85" t="str">
        <f>'11.F&amp;V Crop Production details'!E96</f>
        <v>0</v>
      </c>
      <c r="F35" s="85" t="str">
        <f>'11.F&amp;V Crop Production details'!F96</f>
        <v>0</v>
      </c>
      <c r="G35" s="85" t="str">
        <f>'11.F&amp;V Crop Production details'!G96</f>
        <v>0</v>
      </c>
      <c r="H35" s="85" t="str">
        <f>'11.F&amp;V Crop Production details'!H96</f>
        <v>0</v>
      </c>
    </row>
    <row r="36" ht="15.75" customHeight="1">
      <c r="A36" s="85" t="str">
        <f>'11.F&amp;V Crop Production details'!A97</f>
        <v>Guava</v>
      </c>
      <c r="B36" s="85" t="str">
        <f>'11.F&amp;V Crop Production details'!B97</f>
        <v>0</v>
      </c>
      <c r="C36" s="85" t="str">
        <f>'11.F&amp;V Crop Production details'!C97</f>
        <v>0</v>
      </c>
      <c r="D36" s="85" t="str">
        <f>'11.F&amp;V Crop Production details'!D97</f>
        <v>0</v>
      </c>
      <c r="E36" s="85" t="str">
        <f>'11.F&amp;V Crop Production details'!E97</f>
        <v>0</v>
      </c>
      <c r="F36" s="85" t="str">
        <f>'11.F&amp;V Crop Production details'!F97</f>
        <v>0</v>
      </c>
      <c r="G36" s="85" t="str">
        <f>'11.F&amp;V Crop Production details'!G97</f>
        <v>0</v>
      </c>
      <c r="H36" s="85" t="str">
        <f>'11.F&amp;V Crop Production details'!H97</f>
        <v>0</v>
      </c>
    </row>
    <row r="37" ht="15.75" customHeight="1">
      <c r="A37" s="85" t="str">
        <f>'11.F&amp;V Crop Production details'!A98</f>
        <v>Citrus</v>
      </c>
      <c r="B37" s="85" t="str">
        <f>'11.F&amp;V Crop Production details'!B98</f>
        <v>0</v>
      </c>
      <c r="C37" s="85" t="str">
        <f>'11.F&amp;V Crop Production details'!C98</f>
        <v>0</v>
      </c>
      <c r="D37" s="85" t="str">
        <f>'11.F&amp;V Crop Production details'!D98</f>
        <v>0</v>
      </c>
      <c r="E37" s="85" t="str">
        <f>'11.F&amp;V Crop Production details'!E98</f>
        <v>0</v>
      </c>
      <c r="F37" s="85" t="str">
        <f>'11.F&amp;V Crop Production details'!F98</f>
        <v>0</v>
      </c>
      <c r="G37" s="85" t="str">
        <f>'11.F&amp;V Crop Production details'!G98</f>
        <v>0</v>
      </c>
      <c r="H37" s="85" t="str">
        <f>'11.F&amp;V Crop Production details'!H98</f>
        <v>0</v>
      </c>
    </row>
    <row r="38" ht="15.75" customHeight="1">
      <c r="A38" s="85"/>
      <c r="B38" s="85"/>
      <c r="C38" s="85"/>
      <c r="D38" s="85"/>
      <c r="E38" s="85"/>
      <c r="F38" s="85"/>
      <c r="G38" s="85"/>
      <c r="H38" s="85"/>
    </row>
    <row r="39" ht="15.75" customHeight="1">
      <c r="A39" s="85" t="s">
        <v>638</v>
      </c>
      <c r="B39" s="85" t="str">
        <f t="shared" ref="B39:H39" si="2">SUM(B13:B37)</f>
        <v>0</v>
      </c>
      <c r="C39" s="85" t="str">
        <f t="shared" si="2"/>
        <v>0</v>
      </c>
      <c r="D39" s="85" t="str">
        <f t="shared" si="2"/>
        <v>0</v>
      </c>
      <c r="E39" s="85" t="str">
        <f t="shared" si="2"/>
        <v>0</v>
      </c>
      <c r="F39" s="85" t="str">
        <f t="shared" si="2"/>
        <v>0</v>
      </c>
      <c r="G39" s="85" t="str">
        <f t="shared" si="2"/>
        <v>0</v>
      </c>
      <c r="H39" s="85" t="str">
        <f t="shared" si="2"/>
        <v>0</v>
      </c>
    </row>
    <row r="40" ht="15.75" customHeight="1">
      <c r="A40" s="359" t="s">
        <v>612</v>
      </c>
      <c r="B40" s="190">
        <v>0.5</v>
      </c>
      <c r="C40" s="190">
        <v>0.5</v>
      </c>
      <c r="D40" s="190">
        <v>0.5</v>
      </c>
      <c r="E40" s="190" t="str">
        <f t="shared" ref="E40:H40" si="3">D40</f>
        <v>50%</v>
      </c>
      <c r="F40" s="190" t="str">
        <f t="shared" si="3"/>
        <v>50%</v>
      </c>
      <c r="G40" s="190" t="str">
        <f t="shared" si="3"/>
        <v>50%</v>
      </c>
      <c r="H40" s="190" t="str">
        <f t="shared" si="3"/>
        <v>50%</v>
      </c>
    </row>
    <row r="41" ht="15.75" customHeight="1">
      <c r="A41" s="85" t="s">
        <v>639</v>
      </c>
      <c r="B41" s="180" t="str">
        <f t="shared" ref="B41:H41" si="4">1-B40</f>
        <v>50%</v>
      </c>
      <c r="C41" s="180" t="str">
        <f t="shared" si="4"/>
        <v>50%</v>
      </c>
      <c r="D41" s="180" t="str">
        <f t="shared" si="4"/>
        <v>50%</v>
      </c>
      <c r="E41" s="180" t="str">
        <f t="shared" si="4"/>
        <v>50%</v>
      </c>
      <c r="F41" s="180" t="str">
        <f t="shared" si="4"/>
        <v>50%</v>
      </c>
      <c r="G41" s="180" t="str">
        <f t="shared" si="4"/>
        <v>50%</v>
      </c>
      <c r="H41" s="180" t="str">
        <f t="shared" si="4"/>
        <v>50%</v>
      </c>
    </row>
    <row r="42" ht="15.75" customHeight="1">
      <c r="A42" s="117" t="s">
        <v>612</v>
      </c>
      <c r="B42" s="355">
        <v>100.0</v>
      </c>
      <c r="C42" s="355" t="str">
        <f t="shared" ref="C42:H42" si="5">C39*C40</f>
        <v>  -   </v>
      </c>
      <c r="D42" s="355" t="str">
        <f t="shared" si="5"/>
        <v>  -   </v>
      </c>
      <c r="E42" s="355" t="str">
        <f t="shared" si="5"/>
        <v>  -   </v>
      </c>
      <c r="F42" s="355" t="str">
        <f t="shared" si="5"/>
        <v>  -   </v>
      </c>
      <c r="G42" s="355" t="str">
        <f t="shared" si="5"/>
        <v>  -   </v>
      </c>
      <c r="H42" s="355" t="str">
        <f t="shared" si="5"/>
        <v>  -   </v>
      </c>
    </row>
    <row r="43" ht="15.75" customHeight="1">
      <c r="A43" s="117" t="s">
        <v>613</v>
      </c>
      <c r="B43" s="118"/>
      <c r="C43" s="118"/>
      <c r="D43" s="118"/>
      <c r="E43" s="118"/>
      <c r="F43" s="118"/>
      <c r="G43" s="118"/>
      <c r="H43" s="118"/>
    </row>
    <row r="44" ht="15.75" customHeight="1">
      <c r="A44" s="85" t="str">
        <f t="shared" ref="A44:A61" si="6">A13</f>
        <v>Onion</v>
      </c>
      <c r="B44" s="116" t="str">
        <f t="shared" ref="B44:B61" si="7">B13*$B$41</f>
        <v>  -   </v>
      </c>
      <c r="C44" s="116" t="str">
        <f t="shared" ref="C44:C61" si="8">C13*$C$41</f>
        <v>  -   </v>
      </c>
      <c r="D44" s="116" t="str">
        <f t="shared" ref="D44:D61" si="9">D13*$D$41</f>
        <v>  -   </v>
      </c>
      <c r="E44" s="116" t="str">
        <f t="shared" ref="E44:E61" si="10">E13*$E$41</f>
        <v>  -   </v>
      </c>
      <c r="F44" s="116" t="str">
        <f t="shared" ref="F44:F61" si="11">F13*$F$41</f>
        <v>  -   </v>
      </c>
      <c r="G44" s="116" t="str">
        <f t="shared" ref="G44:G61" si="12">G13*$G$41</f>
        <v>  -   </v>
      </c>
      <c r="H44" s="116" t="str">
        <f t="shared" ref="H44:H61" si="13">H13*$H$41</f>
        <v>  -   </v>
      </c>
    </row>
    <row r="45" ht="15.75" customHeight="1">
      <c r="A45" s="85" t="str">
        <f t="shared" si="6"/>
        <v>Tomato</v>
      </c>
      <c r="B45" s="116" t="str">
        <f t="shared" si="7"/>
        <v>  -   </v>
      </c>
      <c r="C45" s="116" t="str">
        <f t="shared" si="8"/>
        <v>  -   </v>
      </c>
      <c r="D45" s="116" t="str">
        <f t="shared" si="9"/>
        <v>  -   </v>
      </c>
      <c r="E45" s="116" t="str">
        <f t="shared" si="10"/>
        <v>  -   </v>
      </c>
      <c r="F45" s="116" t="str">
        <f t="shared" si="11"/>
        <v>  -   </v>
      </c>
      <c r="G45" s="116" t="str">
        <f t="shared" si="12"/>
        <v>  -   </v>
      </c>
      <c r="H45" s="116" t="str">
        <f t="shared" si="13"/>
        <v>  -   </v>
      </c>
    </row>
    <row r="46" ht="15.75" customHeight="1">
      <c r="A46" s="85" t="str">
        <f t="shared" si="6"/>
        <v>Okra</v>
      </c>
      <c r="B46" s="116" t="str">
        <f t="shared" si="7"/>
        <v>  -   </v>
      </c>
      <c r="C46" s="116" t="str">
        <f t="shared" si="8"/>
        <v>  -   </v>
      </c>
      <c r="D46" s="116" t="str">
        <f t="shared" si="9"/>
        <v>  -   </v>
      </c>
      <c r="E46" s="116" t="str">
        <f t="shared" si="10"/>
        <v>  -   </v>
      </c>
      <c r="F46" s="116" t="str">
        <f t="shared" si="11"/>
        <v>  -   </v>
      </c>
      <c r="G46" s="116" t="str">
        <f t="shared" si="12"/>
        <v>  -   </v>
      </c>
      <c r="H46" s="116" t="str">
        <f t="shared" si="13"/>
        <v>  -   </v>
      </c>
    </row>
    <row r="47" ht="15.75" customHeight="1">
      <c r="A47" s="85" t="str">
        <f t="shared" si="6"/>
        <v>Chilli</v>
      </c>
      <c r="B47" s="116" t="str">
        <f t="shared" si="7"/>
        <v>  -   </v>
      </c>
      <c r="C47" s="116" t="str">
        <f t="shared" si="8"/>
        <v>  -   </v>
      </c>
      <c r="D47" s="116" t="str">
        <f t="shared" si="9"/>
        <v>  -   </v>
      </c>
      <c r="E47" s="116" t="str">
        <f t="shared" si="10"/>
        <v>  -   </v>
      </c>
      <c r="F47" s="116" t="str">
        <f t="shared" si="11"/>
        <v>  -   </v>
      </c>
      <c r="G47" s="116" t="str">
        <f t="shared" si="12"/>
        <v>  -   </v>
      </c>
      <c r="H47" s="116" t="str">
        <f t="shared" si="13"/>
        <v>  -   </v>
      </c>
    </row>
    <row r="48" ht="15.75" customHeight="1">
      <c r="A48" s="85" t="str">
        <f t="shared" si="6"/>
        <v>Potato</v>
      </c>
      <c r="B48" s="116" t="str">
        <f t="shared" si="7"/>
        <v>  -   </v>
      </c>
      <c r="C48" s="116" t="str">
        <f t="shared" si="8"/>
        <v>  -   </v>
      </c>
      <c r="D48" s="116" t="str">
        <f t="shared" si="9"/>
        <v>  -   </v>
      </c>
      <c r="E48" s="116" t="str">
        <f t="shared" si="10"/>
        <v>  -   </v>
      </c>
      <c r="F48" s="116" t="str">
        <f t="shared" si="11"/>
        <v>  -   </v>
      </c>
      <c r="G48" s="116" t="str">
        <f t="shared" si="12"/>
        <v>  -   </v>
      </c>
      <c r="H48" s="116" t="str">
        <f t="shared" si="13"/>
        <v>  -   </v>
      </c>
    </row>
    <row r="49" ht="15.75" customHeight="1">
      <c r="A49" s="85" t="str">
        <f t="shared" si="6"/>
        <v/>
      </c>
      <c r="B49" s="116" t="str">
        <f t="shared" si="7"/>
        <v>  -   </v>
      </c>
      <c r="C49" s="116" t="str">
        <f t="shared" si="8"/>
        <v>  -   </v>
      </c>
      <c r="D49" s="116" t="str">
        <f t="shared" si="9"/>
        <v>  -   </v>
      </c>
      <c r="E49" s="116" t="str">
        <f t="shared" si="10"/>
        <v>  -   </v>
      </c>
      <c r="F49" s="116" t="str">
        <f t="shared" si="11"/>
        <v>  -   </v>
      </c>
      <c r="G49" s="116" t="str">
        <f t="shared" si="12"/>
        <v>  -   </v>
      </c>
      <c r="H49" s="116" t="str">
        <f t="shared" si="13"/>
        <v>  -   </v>
      </c>
    </row>
    <row r="50" ht="15.75" customHeight="1">
      <c r="A50" s="85" t="str">
        <f t="shared" si="6"/>
        <v/>
      </c>
      <c r="B50" s="116" t="str">
        <f t="shared" si="7"/>
        <v>  -   </v>
      </c>
      <c r="C50" s="116" t="str">
        <f t="shared" si="8"/>
        <v>  -   </v>
      </c>
      <c r="D50" s="116" t="str">
        <f t="shared" si="9"/>
        <v>  -   </v>
      </c>
      <c r="E50" s="116" t="str">
        <f t="shared" si="10"/>
        <v>  -   </v>
      </c>
      <c r="F50" s="116" t="str">
        <f t="shared" si="11"/>
        <v>  -   </v>
      </c>
      <c r="G50" s="116" t="str">
        <f t="shared" si="12"/>
        <v>  -   </v>
      </c>
      <c r="H50" s="116" t="str">
        <f t="shared" si="13"/>
        <v>  -   </v>
      </c>
    </row>
    <row r="51" ht="15.75" customHeight="1">
      <c r="A51" s="85" t="str">
        <f t="shared" si="6"/>
        <v/>
      </c>
      <c r="B51" s="116" t="str">
        <f t="shared" si="7"/>
        <v>  -   </v>
      </c>
      <c r="C51" s="116" t="str">
        <f t="shared" si="8"/>
        <v>  -   </v>
      </c>
      <c r="D51" s="116" t="str">
        <f t="shared" si="9"/>
        <v>  -   </v>
      </c>
      <c r="E51" s="116" t="str">
        <f t="shared" si="10"/>
        <v>  -   </v>
      </c>
      <c r="F51" s="116" t="str">
        <f t="shared" si="11"/>
        <v>  -   </v>
      </c>
      <c r="G51" s="116" t="str">
        <f t="shared" si="12"/>
        <v>  -   </v>
      </c>
      <c r="H51" s="116" t="str">
        <f t="shared" si="13"/>
        <v>  -   </v>
      </c>
    </row>
    <row r="52" ht="15.75" customHeight="1">
      <c r="A52" s="85" t="str">
        <f t="shared" si="6"/>
        <v/>
      </c>
      <c r="B52" s="116" t="str">
        <f t="shared" si="7"/>
        <v>  -   </v>
      </c>
      <c r="C52" s="116" t="str">
        <f t="shared" si="8"/>
        <v>  -   </v>
      </c>
      <c r="D52" s="116" t="str">
        <f t="shared" si="9"/>
        <v>  -   </v>
      </c>
      <c r="E52" s="116" t="str">
        <f t="shared" si="10"/>
        <v>  -   </v>
      </c>
      <c r="F52" s="116" t="str">
        <f t="shared" si="11"/>
        <v>  -   </v>
      </c>
      <c r="G52" s="116" t="str">
        <f t="shared" si="12"/>
        <v>  -   </v>
      </c>
      <c r="H52" s="116" t="str">
        <f t="shared" si="13"/>
        <v>  -   </v>
      </c>
    </row>
    <row r="53" ht="15.75" customHeight="1">
      <c r="A53" s="85" t="str">
        <f t="shared" si="6"/>
        <v>Onion</v>
      </c>
      <c r="B53" s="116" t="str">
        <f t="shared" si="7"/>
        <v>  -   </v>
      </c>
      <c r="C53" s="116" t="str">
        <f t="shared" si="8"/>
        <v>  -   </v>
      </c>
      <c r="D53" s="116" t="str">
        <f t="shared" si="9"/>
        <v>  -   </v>
      </c>
      <c r="E53" s="116" t="str">
        <f t="shared" si="10"/>
        <v>  -   </v>
      </c>
      <c r="F53" s="116" t="str">
        <f t="shared" si="11"/>
        <v>  -   </v>
      </c>
      <c r="G53" s="116" t="str">
        <f t="shared" si="12"/>
        <v>  -   </v>
      </c>
      <c r="H53" s="116" t="str">
        <f t="shared" si="13"/>
        <v>  -   </v>
      </c>
    </row>
    <row r="54" ht="15.75" customHeight="1">
      <c r="A54" s="85" t="str">
        <f t="shared" si="6"/>
        <v>Tomato</v>
      </c>
      <c r="B54" s="116" t="str">
        <f t="shared" si="7"/>
        <v>  -   </v>
      </c>
      <c r="C54" s="116" t="str">
        <f t="shared" si="8"/>
        <v>  -   </v>
      </c>
      <c r="D54" s="116" t="str">
        <f t="shared" si="9"/>
        <v>  -   </v>
      </c>
      <c r="E54" s="116" t="str">
        <f t="shared" si="10"/>
        <v>  -   </v>
      </c>
      <c r="F54" s="116" t="str">
        <f t="shared" si="11"/>
        <v>  -   </v>
      </c>
      <c r="G54" s="116" t="str">
        <f t="shared" si="12"/>
        <v>  -   </v>
      </c>
      <c r="H54" s="116" t="str">
        <f t="shared" si="13"/>
        <v>  -   </v>
      </c>
    </row>
    <row r="55" ht="15.75" customHeight="1">
      <c r="A55" s="85" t="str">
        <f t="shared" si="6"/>
        <v>Okra</v>
      </c>
      <c r="B55" s="116" t="str">
        <f t="shared" si="7"/>
        <v>  -   </v>
      </c>
      <c r="C55" s="116" t="str">
        <f t="shared" si="8"/>
        <v>  -   </v>
      </c>
      <c r="D55" s="116" t="str">
        <f t="shared" si="9"/>
        <v>  -   </v>
      </c>
      <c r="E55" s="116" t="str">
        <f t="shared" si="10"/>
        <v>  -   </v>
      </c>
      <c r="F55" s="116" t="str">
        <f t="shared" si="11"/>
        <v>  -   </v>
      </c>
      <c r="G55" s="116" t="str">
        <f t="shared" si="12"/>
        <v>  -   </v>
      </c>
      <c r="H55" s="116" t="str">
        <f t="shared" si="13"/>
        <v>  -   </v>
      </c>
    </row>
    <row r="56" ht="15.75" customHeight="1">
      <c r="A56" s="85" t="str">
        <f t="shared" si="6"/>
        <v>Chilli</v>
      </c>
      <c r="B56" s="116" t="str">
        <f t="shared" si="7"/>
        <v>  -   </v>
      </c>
      <c r="C56" s="116" t="str">
        <f t="shared" si="8"/>
        <v>  -   </v>
      </c>
      <c r="D56" s="116" t="str">
        <f t="shared" si="9"/>
        <v>  -   </v>
      </c>
      <c r="E56" s="116" t="str">
        <f t="shared" si="10"/>
        <v>  -   </v>
      </c>
      <c r="F56" s="116" t="str">
        <f t="shared" si="11"/>
        <v>  -   </v>
      </c>
      <c r="G56" s="116" t="str">
        <f t="shared" si="12"/>
        <v>  -   </v>
      </c>
      <c r="H56" s="116" t="str">
        <f t="shared" si="13"/>
        <v>  -   </v>
      </c>
    </row>
    <row r="57" ht="15.75" customHeight="1">
      <c r="A57" s="85" t="str">
        <f t="shared" si="6"/>
        <v>Brinjal</v>
      </c>
      <c r="B57" s="116" t="str">
        <f t="shared" si="7"/>
        <v>  -   </v>
      </c>
      <c r="C57" s="116" t="str">
        <f t="shared" si="8"/>
        <v>  -   </v>
      </c>
      <c r="D57" s="116" t="str">
        <f t="shared" si="9"/>
        <v>  -   </v>
      </c>
      <c r="E57" s="116" t="str">
        <f t="shared" si="10"/>
        <v>  -   </v>
      </c>
      <c r="F57" s="116" t="str">
        <f t="shared" si="11"/>
        <v>  -   </v>
      </c>
      <c r="G57" s="116" t="str">
        <f t="shared" si="12"/>
        <v>  -   </v>
      </c>
      <c r="H57" s="116" t="str">
        <f t="shared" si="13"/>
        <v>  -   </v>
      </c>
    </row>
    <row r="58" ht="15.75" customHeight="1">
      <c r="A58" s="85" t="str">
        <f t="shared" si="6"/>
        <v/>
      </c>
      <c r="B58" s="116" t="str">
        <f t="shared" si="7"/>
        <v>  -   </v>
      </c>
      <c r="C58" s="116" t="str">
        <f t="shared" si="8"/>
        <v>  -   </v>
      </c>
      <c r="D58" s="116" t="str">
        <f t="shared" si="9"/>
        <v>  -   </v>
      </c>
      <c r="E58" s="116" t="str">
        <f t="shared" si="10"/>
        <v>  -   </v>
      </c>
      <c r="F58" s="116" t="str">
        <f t="shared" si="11"/>
        <v>  -   </v>
      </c>
      <c r="G58" s="116" t="str">
        <f t="shared" si="12"/>
        <v>  -   </v>
      </c>
      <c r="H58" s="116" t="str">
        <f t="shared" si="13"/>
        <v>  -   </v>
      </c>
    </row>
    <row r="59" ht="15.75" customHeight="1">
      <c r="A59" s="85" t="str">
        <f t="shared" si="6"/>
        <v/>
      </c>
      <c r="B59" s="116" t="str">
        <f t="shared" si="7"/>
        <v>  -   </v>
      </c>
      <c r="C59" s="116" t="str">
        <f t="shared" si="8"/>
        <v>  -   </v>
      </c>
      <c r="D59" s="116" t="str">
        <f t="shared" si="9"/>
        <v>  -   </v>
      </c>
      <c r="E59" s="116" t="str">
        <f t="shared" si="10"/>
        <v>  -   </v>
      </c>
      <c r="F59" s="116" t="str">
        <f t="shared" si="11"/>
        <v>  -   </v>
      </c>
      <c r="G59" s="116" t="str">
        <f t="shared" si="12"/>
        <v>  -   </v>
      </c>
      <c r="H59" s="116" t="str">
        <f t="shared" si="13"/>
        <v>  -   </v>
      </c>
    </row>
    <row r="60" ht="15.75" customHeight="1">
      <c r="A60" s="85" t="str">
        <f t="shared" si="6"/>
        <v/>
      </c>
      <c r="B60" s="116" t="str">
        <f t="shared" si="7"/>
        <v>  -   </v>
      </c>
      <c r="C60" s="116" t="str">
        <f t="shared" si="8"/>
        <v>  -   </v>
      </c>
      <c r="D60" s="116" t="str">
        <f t="shared" si="9"/>
        <v>  -   </v>
      </c>
      <c r="E60" s="116" t="str">
        <f t="shared" si="10"/>
        <v>  -   </v>
      </c>
      <c r="F60" s="116" t="str">
        <f t="shared" si="11"/>
        <v>  -   </v>
      </c>
      <c r="G60" s="116" t="str">
        <f t="shared" si="12"/>
        <v>  -   </v>
      </c>
      <c r="H60" s="116" t="str">
        <f t="shared" si="13"/>
        <v>  -   </v>
      </c>
    </row>
    <row r="61" ht="15.75" customHeight="1">
      <c r="A61" s="85" t="str">
        <f t="shared" si="6"/>
        <v/>
      </c>
      <c r="B61" s="116" t="str">
        <f t="shared" si="7"/>
        <v>  -   </v>
      </c>
      <c r="C61" s="116" t="str">
        <f t="shared" si="8"/>
        <v>  -   </v>
      </c>
      <c r="D61" s="116" t="str">
        <f t="shared" si="9"/>
        <v>  -   </v>
      </c>
      <c r="E61" s="116" t="str">
        <f t="shared" si="10"/>
        <v>  -   </v>
      </c>
      <c r="F61" s="116" t="str">
        <f t="shared" si="11"/>
        <v>  -   </v>
      </c>
      <c r="G61" s="116" t="str">
        <f t="shared" si="12"/>
        <v>  -   </v>
      </c>
      <c r="H61" s="116" t="str">
        <f t="shared" si="13"/>
        <v>  -   </v>
      </c>
    </row>
    <row r="62" ht="15.75" customHeight="1">
      <c r="A62" s="85" t="str">
        <f t="shared" ref="A62:A65" si="15">A34</f>
        <v>Pomegranate</v>
      </c>
      <c r="B62" s="116" t="str">
        <f t="shared" ref="B62:H62" si="14">B34*$B$41</f>
        <v>  -   </v>
      </c>
      <c r="C62" s="116" t="str">
        <f t="shared" si="14"/>
        <v>  -   </v>
      </c>
      <c r="D62" s="116" t="str">
        <f t="shared" si="14"/>
        <v>  -   </v>
      </c>
      <c r="E62" s="116" t="str">
        <f t="shared" si="14"/>
        <v>  -   </v>
      </c>
      <c r="F62" s="116" t="str">
        <f t="shared" si="14"/>
        <v>  -   </v>
      </c>
      <c r="G62" s="116" t="str">
        <f t="shared" si="14"/>
        <v>  -   </v>
      </c>
      <c r="H62" s="116" t="str">
        <f t="shared" si="14"/>
        <v>  -   </v>
      </c>
    </row>
    <row r="63" ht="15.75" customHeight="1">
      <c r="A63" s="85" t="str">
        <f t="shared" si="15"/>
        <v>Custard Apple</v>
      </c>
      <c r="B63" s="116" t="str">
        <f t="shared" ref="B63:H63" si="16">B35*$B$41</f>
        <v>  -   </v>
      </c>
      <c r="C63" s="116" t="str">
        <f t="shared" si="16"/>
        <v>  -   </v>
      </c>
      <c r="D63" s="116" t="str">
        <f t="shared" si="16"/>
        <v>  -   </v>
      </c>
      <c r="E63" s="116" t="str">
        <f t="shared" si="16"/>
        <v>  -   </v>
      </c>
      <c r="F63" s="116" t="str">
        <f t="shared" si="16"/>
        <v>  -   </v>
      </c>
      <c r="G63" s="116" t="str">
        <f t="shared" si="16"/>
        <v>  -   </v>
      </c>
      <c r="H63" s="116" t="str">
        <f t="shared" si="16"/>
        <v>  -   </v>
      </c>
    </row>
    <row r="64" ht="15.75" customHeight="1">
      <c r="A64" s="85" t="str">
        <f t="shared" si="15"/>
        <v>Guava</v>
      </c>
      <c r="B64" s="116" t="str">
        <f t="shared" ref="B64:H64" si="17">B36*$B$41</f>
        <v>  -   </v>
      </c>
      <c r="C64" s="116" t="str">
        <f t="shared" si="17"/>
        <v>  -   </v>
      </c>
      <c r="D64" s="116" t="str">
        <f t="shared" si="17"/>
        <v>  -   </v>
      </c>
      <c r="E64" s="116" t="str">
        <f t="shared" si="17"/>
        <v>  -   </v>
      </c>
      <c r="F64" s="116" t="str">
        <f t="shared" si="17"/>
        <v>  -   </v>
      </c>
      <c r="G64" s="116" t="str">
        <f t="shared" si="17"/>
        <v>  -   </v>
      </c>
      <c r="H64" s="116" t="str">
        <f t="shared" si="17"/>
        <v>  -   </v>
      </c>
    </row>
    <row r="65" ht="15.75" customHeight="1">
      <c r="A65" s="85" t="str">
        <f t="shared" si="15"/>
        <v>Citrus</v>
      </c>
      <c r="B65" s="116" t="str">
        <f t="shared" ref="B65:H65" si="18">B37*$B$41</f>
        <v>  -   </v>
      </c>
      <c r="C65" s="116" t="str">
        <f t="shared" si="18"/>
        <v>  -   </v>
      </c>
      <c r="D65" s="116" t="str">
        <f t="shared" si="18"/>
        <v>  -   </v>
      </c>
      <c r="E65" s="116" t="str">
        <f t="shared" si="18"/>
        <v>  -   </v>
      </c>
      <c r="F65" s="116" t="str">
        <f t="shared" si="18"/>
        <v>  -   </v>
      </c>
      <c r="G65" s="116" t="str">
        <f t="shared" si="18"/>
        <v>  -   </v>
      </c>
      <c r="H65" s="116" t="str">
        <f t="shared" si="18"/>
        <v>  -   </v>
      </c>
    </row>
    <row r="66" ht="15.75" customHeight="1">
      <c r="A66" s="117" t="s">
        <v>640</v>
      </c>
      <c r="B66" s="85"/>
      <c r="C66" s="85"/>
      <c r="D66" s="85"/>
      <c r="E66" s="85"/>
      <c r="F66" s="85"/>
      <c r="G66" s="85"/>
      <c r="H66" s="85"/>
    </row>
    <row r="67" ht="15.75" customHeight="1">
      <c r="A67" s="85" t="str">
        <f>A44</f>
        <v>Onion</v>
      </c>
      <c r="B67" s="346"/>
      <c r="C67" s="346"/>
      <c r="D67" s="346"/>
      <c r="E67" s="346"/>
      <c r="F67" s="346"/>
      <c r="G67" s="346"/>
      <c r="H67" s="346"/>
    </row>
    <row r="68" ht="15.75" customHeight="1">
      <c r="A68" s="85"/>
      <c r="B68" s="346"/>
      <c r="C68" s="346"/>
      <c r="D68" s="346"/>
      <c r="E68" s="346"/>
      <c r="F68" s="346"/>
      <c r="G68" s="346"/>
      <c r="H68" s="346"/>
    </row>
    <row r="69" ht="15.75" customHeight="1">
      <c r="A69" s="85"/>
      <c r="B69" s="346"/>
      <c r="C69" s="346"/>
      <c r="D69" s="346"/>
      <c r="E69" s="346"/>
      <c r="F69" s="346"/>
      <c r="G69" s="346"/>
      <c r="H69" s="346"/>
    </row>
    <row r="70" ht="15.75" customHeight="1">
      <c r="A70" s="85"/>
      <c r="B70" s="346"/>
      <c r="C70" s="346"/>
      <c r="D70" s="346"/>
      <c r="E70" s="346"/>
      <c r="F70" s="346"/>
      <c r="G70" s="346"/>
      <c r="H70" s="346"/>
    </row>
    <row r="71" ht="15.75" customHeight="1">
      <c r="A71" s="85" t="str">
        <f>A45</f>
        <v>Tomato</v>
      </c>
      <c r="B71" s="116"/>
      <c r="C71" s="116"/>
      <c r="D71" s="116"/>
      <c r="E71" s="116"/>
      <c r="F71" s="116"/>
      <c r="G71" s="116"/>
      <c r="H71" s="116"/>
    </row>
    <row r="72" ht="15.75" customHeight="1">
      <c r="A72" s="85"/>
      <c r="B72" s="116"/>
      <c r="C72" s="116"/>
      <c r="D72" s="116"/>
      <c r="E72" s="116"/>
      <c r="F72" s="116"/>
      <c r="G72" s="116"/>
      <c r="H72" s="116"/>
    </row>
    <row r="73" ht="15.75" customHeight="1">
      <c r="A73" s="85"/>
      <c r="B73" s="116"/>
      <c r="C73" s="116"/>
      <c r="D73" s="116"/>
      <c r="E73" s="116"/>
      <c r="F73" s="116"/>
      <c r="G73" s="116"/>
      <c r="H73" s="116"/>
    </row>
    <row r="74" ht="15.75" customHeight="1">
      <c r="A74" s="85"/>
      <c r="B74" s="116"/>
      <c r="C74" s="116"/>
      <c r="D74" s="116"/>
      <c r="E74" s="116"/>
      <c r="F74" s="116"/>
      <c r="G74" s="116"/>
      <c r="H74" s="116"/>
    </row>
    <row r="75" ht="15.75" customHeight="1">
      <c r="A75" s="85" t="str">
        <f>A46</f>
        <v>Okra</v>
      </c>
      <c r="B75" s="116"/>
      <c r="C75" s="116"/>
      <c r="D75" s="116"/>
      <c r="E75" s="116"/>
      <c r="F75" s="116"/>
      <c r="G75" s="116"/>
      <c r="H75" s="116"/>
    </row>
    <row r="76" ht="15.75" customHeight="1">
      <c r="A76" s="85"/>
      <c r="B76" s="116"/>
      <c r="C76" s="116"/>
      <c r="D76" s="116"/>
      <c r="E76" s="116"/>
      <c r="F76" s="116"/>
      <c r="G76" s="116"/>
      <c r="H76" s="116"/>
    </row>
    <row r="77" ht="15.75" customHeight="1">
      <c r="A77" s="85"/>
      <c r="B77" s="116"/>
      <c r="C77" s="116"/>
      <c r="D77" s="116"/>
      <c r="E77" s="116"/>
      <c r="F77" s="116"/>
      <c r="G77" s="116"/>
      <c r="H77" s="116"/>
    </row>
    <row r="78" ht="15.75" customHeight="1">
      <c r="A78" s="85"/>
      <c r="B78" s="116"/>
      <c r="C78" s="116"/>
      <c r="D78" s="116"/>
      <c r="E78" s="116"/>
      <c r="F78" s="116"/>
      <c r="G78" s="116"/>
      <c r="H78" s="116"/>
    </row>
    <row r="79" ht="15.75" customHeight="1">
      <c r="A79" s="85" t="str">
        <f>A47</f>
        <v>Chilli</v>
      </c>
      <c r="B79" s="116"/>
      <c r="C79" s="116"/>
      <c r="D79" s="116"/>
      <c r="E79" s="116"/>
      <c r="F79" s="116"/>
      <c r="G79" s="116"/>
      <c r="H79" s="116"/>
    </row>
    <row r="80" ht="15.75" customHeight="1">
      <c r="A80" s="85"/>
      <c r="B80" s="116"/>
      <c r="C80" s="116"/>
      <c r="D80" s="116"/>
      <c r="E80" s="116"/>
      <c r="F80" s="116"/>
      <c r="G80" s="116"/>
      <c r="H80" s="116"/>
    </row>
    <row r="81" ht="15.75" customHeight="1">
      <c r="A81" s="85"/>
      <c r="B81" s="116"/>
      <c r="C81" s="116"/>
      <c r="D81" s="116"/>
      <c r="E81" s="116"/>
      <c r="F81" s="116"/>
      <c r="G81" s="116"/>
      <c r="H81" s="116"/>
    </row>
    <row r="82" ht="15.75" customHeight="1">
      <c r="A82" s="85"/>
      <c r="B82" s="116"/>
      <c r="C82" s="116"/>
      <c r="D82" s="116"/>
      <c r="E82" s="116"/>
      <c r="F82" s="116"/>
      <c r="G82" s="116"/>
      <c r="H82" s="116"/>
    </row>
    <row r="83" ht="15.75" customHeight="1">
      <c r="A83" s="85" t="str">
        <f>A48</f>
        <v>Potato</v>
      </c>
      <c r="B83" s="116"/>
      <c r="C83" s="116"/>
      <c r="D83" s="116"/>
      <c r="E83" s="116"/>
      <c r="F83" s="116"/>
      <c r="G83" s="116"/>
      <c r="H83" s="116"/>
    </row>
    <row r="84" ht="15.75" customHeight="1">
      <c r="A84" s="85"/>
      <c r="B84" s="116"/>
      <c r="C84" s="116"/>
      <c r="D84" s="116"/>
      <c r="E84" s="116"/>
      <c r="F84" s="116"/>
      <c r="G84" s="116"/>
      <c r="H84" s="116"/>
    </row>
    <row r="85" ht="15.75" customHeight="1">
      <c r="A85" s="85"/>
      <c r="B85" s="116"/>
      <c r="C85" s="116"/>
      <c r="D85" s="116"/>
      <c r="E85" s="116"/>
      <c r="F85" s="116"/>
      <c r="G85" s="116"/>
      <c r="H85" s="116"/>
    </row>
    <row r="86" ht="15.75" customHeight="1">
      <c r="A86" s="85"/>
      <c r="B86" s="116"/>
      <c r="C86" s="116"/>
      <c r="D86" s="116"/>
      <c r="E86" s="116"/>
      <c r="F86" s="116"/>
      <c r="G86" s="116"/>
      <c r="H86" s="116"/>
    </row>
    <row r="87" ht="15.75" customHeight="1">
      <c r="A87" s="85" t="str">
        <f>A49</f>
        <v/>
      </c>
      <c r="B87" s="116"/>
      <c r="C87" s="116"/>
      <c r="D87" s="116"/>
      <c r="E87" s="116"/>
      <c r="F87" s="116"/>
      <c r="G87" s="116"/>
      <c r="H87" s="116"/>
    </row>
    <row r="88" ht="15.75" customHeight="1">
      <c r="A88" s="85"/>
      <c r="B88" s="116"/>
      <c r="C88" s="116"/>
      <c r="D88" s="116"/>
      <c r="E88" s="116"/>
      <c r="F88" s="116"/>
      <c r="G88" s="116"/>
      <c r="H88" s="116"/>
    </row>
    <row r="89" ht="15.75" customHeight="1">
      <c r="A89" s="85"/>
      <c r="B89" s="116"/>
      <c r="C89" s="116"/>
      <c r="D89" s="116"/>
      <c r="E89" s="116"/>
      <c r="F89" s="116"/>
      <c r="G89" s="116"/>
      <c r="H89" s="116"/>
    </row>
    <row r="90" ht="15.75" customHeight="1">
      <c r="A90" s="85"/>
      <c r="B90" s="116"/>
      <c r="C90" s="116"/>
      <c r="D90" s="116"/>
      <c r="E90" s="116"/>
      <c r="F90" s="116"/>
      <c r="G90" s="116"/>
      <c r="H90" s="116"/>
    </row>
    <row r="91" ht="15.75" customHeight="1">
      <c r="A91" s="85" t="str">
        <f>A50</f>
        <v/>
      </c>
      <c r="B91" s="116"/>
      <c r="C91" s="116"/>
      <c r="D91" s="116"/>
      <c r="E91" s="116"/>
      <c r="F91" s="116"/>
      <c r="G91" s="116"/>
      <c r="H91" s="116"/>
    </row>
    <row r="92" ht="15.75" customHeight="1">
      <c r="A92" s="85"/>
      <c r="B92" s="116"/>
      <c r="C92" s="116"/>
      <c r="D92" s="116"/>
      <c r="E92" s="116"/>
      <c r="F92" s="116"/>
      <c r="G92" s="116"/>
      <c r="H92" s="116"/>
    </row>
    <row r="93" ht="15.75" customHeight="1">
      <c r="A93" s="85"/>
      <c r="B93" s="116"/>
      <c r="C93" s="116"/>
      <c r="D93" s="116"/>
      <c r="E93" s="116"/>
      <c r="F93" s="116"/>
      <c r="G93" s="116"/>
      <c r="H93" s="116"/>
    </row>
    <row r="94" ht="15.75" customHeight="1">
      <c r="A94" s="85" t="str">
        <f>A51</f>
        <v/>
      </c>
      <c r="B94" s="116"/>
      <c r="C94" s="116"/>
      <c r="D94" s="116"/>
      <c r="E94" s="116"/>
      <c r="F94" s="116"/>
      <c r="G94" s="116"/>
      <c r="H94" s="116"/>
    </row>
    <row r="95" ht="15.75" customHeight="1">
      <c r="A95" s="85"/>
      <c r="B95" s="116"/>
      <c r="C95" s="116"/>
      <c r="D95" s="116"/>
      <c r="E95" s="116"/>
      <c r="F95" s="116"/>
      <c r="G95" s="116"/>
      <c r="H95" s="116"/>
    </row>
    <row r="96" ht="15.75" customHeight="1">
      <c r="A96" s="85"/>
      <c r="B96" s="116"/>
      <c r="C96" s="116"/>
      <c r="D96" s="116"/>
      <c r="E96" s="116"/>
      <c r="F96" s="116"/>
      <c r="G96" s="116"/>
      <c r="H96" s="116"/>
    </row>
    <row r="97" ht="15.75" customHeight="1">
      <c r="A97" s="85"/>
      <c r="B97" s="116"/>
      <c r="C97" s="116"/>
      <c r="D97" s="116"/>
      <c r="E97" s="116"/>
      <c r="F97" s="116"/>
      <c r="G97" s="116"/>
      <c r="H97" s="116"/>
    </row>
    <row r="98" ht="15.75" customHeight="1">
      <c r="A98" s="85" t="str">
        <f>A52</f>
        <v/>
      </c>
      <c r="B98" s="116"/>
      <c r="C98" s="116"/>
      <c r="D98" s="116"/>
      <c r="E98" s="116"/>
      <c r="F98" s="116"/>
      <c r="G98" s="116"/>
      <c r="H98" s="116"/>
    </row>
    <row r="99" ht="15.75" customHeight="1">
      <c r="A99" s="85"/>
      <c r="B99" s="116"/>
      <c r="C99" s="116"/>
      <c r="D99" s="116"/>
      <c r="E99" s="116"/>
      <c r="F99" s="116"/>
      <c r="G99" s="116"/>
      <c r="H99" s="116"/>
    </row>
    <row r="100" ht="15.75" customHeight="1">
      <c r="A100" s="85"/>
      <c r="B100" s="116"/>
      <c r="C100" s="116"/>
      <c r="D100" s="116"/>
      <c r="E100" s="116"/>
      <c r="F100" s="116"/>
      <c r="G100" s="116"/>
      <c r="H100" s="116"/>
    </row>
    <row r="101" ht="15.75" customHeight="1">
      <c r="A101" s="85"/>
      <c r="B101" s="116"/>
      <c r="C101" s="116"/>
      <c r="D101" s="116"/>
      <c r="E101" s="116"/>
      <c r="F101" s="116"/>
      <c r="G101" s="116"/>
      <c r="H101" s="116"/>
    </row>
    <row r="102" ht="15.75" customHeight="1">
      <c r="A102" s="85" t="str">
        <f>A53</f>
        <v>Onion</v>
      </c>
      <c r="B102" s="116"/>
      <c r="C102" s="116"/>
      <c r="D102" s="116"/>
      <c r="E102" s="116"/>
      <c r="F102" s="116"/>
      <c r="G102" s="116"/>
      <c r="H102" s="116"/>
    </row>
    <row r="103" ht="15.75" customHeight="1">
      <c r="A103" s="85"/>
      <c r="B103" s="116"/>
      <c r="C103" s="116"/>
      <c r="D103" s="116"/>
      <c r="E103" s="116"/>
      <c r="F103" s="116"/>
      <c r="G103" s="116"/>
      <c r="H103" s="116"/>
    </row>
    <row r="104" ht="15.75" customHeight="1">
      <c r="A104" s="85"/>
      <c r="B104" s="116"/>
      <c r="C104" s="116"/>
      <c r="D104" s="116"/>
      <c r="E104" s="116"/>
      <c r="F104" s="116"/>
      <c r="G104" s="116"/>
      <c r="H104" s="116"/>
    </row>
    <row r="105" ht="15.75" customHeight="1">
      <c r="A105" s="85"/>
      <c r="B105" s="116"/>
      <c r="C105" s="116"/>
      <c r="D105" s="116"/>
      <c r="E105" s="116"/>
      <c r="F105" s="116"/>
      <c r="G105" s="116"/>
      <c r="H105" s="116"/>
    </row>
    <row r="106" ht="15.75" customHeight="1">
      <c r="A106" s="85" t="str">
        <f>A54</f>
        <v>Tomato</v>
      </c>
      <c r="B106" s="116"/>
      <c r="C106" s="116"/>
      <c r="D106" s="116"/>
      <c r="E106" s="116"/>
      <c r="F106" s="116"/>
      <c r="G106" s="116"/>
      <c r="H106" s="116"/>
    </row>
    <row r="107" ht="15.75" customHeight="1">
      <c r="A107" s="85"/>
      <c r="B107" s="116"/>
      <c r="C107" s="116"/>
      <c r="D107" s="116"/>
      <c r="E107" s="116"/>
      <c r="F107" s="116"/>
      <c r="G107" s="116"/>
      <c r="H107" s="116"/>
    </row>
    <row r="108" ht="15.75" customHeight="1">
      <c r="A108" s="85"/>
      <c r="B108" s="116"/>
      <c r="C108" s="116"/>
      <c r="D108" s="116"/>
      <c r="E108" s="116"/>
      <c r="F108" s="116"/>
      <c r="G108" s="116"/>
      <c r="H108" s="116"/>
    </row>
    <row r="109" ht="15.75" customHeight="1">
      <c r="A109" s="85"/>
      <c r="B109" s="116"/>
      <c r="C109" s="116"/>
      <c r="D109" s="116"/>
      <c r="E109" s="116"/>
      <c r="F109" s="116"/>
      <c r="G109" s="116"/>
      <c r="H109" s="116"/>
    </row>
    <row r="110" ht="15.75" customHeight="1">
      <c r="A110" s="85" t="str">
        <f>A55</f>
        <v>Okra</v>
      </c>
      <c r="B110" s="116"/>
      <c r="C110" s="116"/>
      <c r="D110" s="116"/>
      <c r="E110" s="116"/>
      <c r="F110" s="116"/>
      <c r="G110" s="116"/>
      <c r="H110" s="116"/>
    </row>
    <row r="111" ht="15.75" customHeight="1">
      <c r="A111" s="85"/>
      <c r="B111" s="116"/>
      <c r="C111" s="116"/>
      <c r="D111" s="116"/>
      <c r="E111" s="116"/>
      <c r="F111" s="116"/>
      <c r="G111" s="116"/>
      <c r="H111" s="116"/>
    </row>
    <row r="112" ht="15.75" customHeight="1">
      <c r="A112" s="85"/>
      <c r="B112" s="116"/>
      <c r="C112" s="116"/>
      <c r="D112" s="116"/>
      <c r="E112" s="116"/>
      <c r="F112" s="116"/>
      <c r="G112" s="116"/>
      <c r="H112" s="116"/>
    </row>
    <row r="113" ht="15.75" customHeight="1">
      <c r="A113" s="85"/>
      <c r="B113" s="116"/>
      <c r="C113" s="116"/>
      <c r="D113" s="116"/>
      <c r="E113" s="116"/>
      <c r="F113" s="116"/>
      <c r="G113" s="116"/>
      <c r="H113" s="116"/>
    </row>
    <row r="114" ht="15.75" customHeight="1">
      <c r="A114" s="85" t="str">
        <f>A56</f>
        <v>Chilli</v>
      </c>
      <c r="B114" s="116"/>
      <c r="C114" s="116"/>
      <c r="D114" s="116"/>
      <c r="E114" s="116"/>
      <c r="F114" s="116"/>
      <c r="G114" s="116"/>
      <c r="H114" s="116"/>
    </row>
    <row r="115" ht="15.75" customHeight="1">
      <c r="A115" s="85"/>
      <c r="B115" s="116"/>
      <c r="C115" s="116"/>
      <c r="D115" s="116"/>
      <c r="E115" s="116"/>
      <c r="F115" s="116"/>
      <c r="G115" s="116"/>
      <c r="H115" s="116"/>
    </row>
    <row r="116" ht="15.75" customHeight="1">
      <c r="A116" s="85"/>
      <c r="B116" s="116"/>
      <c r="C116" s="116"/>
      <c r="D116" s="116"/>
      <c r="E116" s="116"/>
      <c r="F116" s="116"/>
      <c r="G116" s="116"/>
      <c r="H116" s="116"/>
    </row>
    <row r="117" ht="15.75" customHeight="1">
      <c r="A117" s="85"/>
      <c r="B117" s="116"/>
      <c r="C117" s="116"/>
      <c r="D117" s="116"/>
      <c r="E117" s="116"/>
      <c r="F117" s="116"/>
      <c r="G117" s="116"/>
      <c r="H117" s="116"/>
    </row>
    <row r="118" ht="15.75" customHeight="1">
      <c r="A118" s="117" t="str">
        <f t="shared" ref="A118:A123" si="19">A57</f>
        <v>Brinjal</v>
      </c>
      <c r="B118" s="116"/>
      <c r="C118" s="116"/>
      <c r="D118" s="116"/>
      <c r="E118" s="116"/>
      <c r="F118" s="116"/>
      <c r="G118" s="116"/>
      <c r="H118" s="116"/>
    </row>
    <row r="119" ht="15.75" customHeight="1">
      <c r="A119" s="85" t="str">
        <f t="shared" si="19"/>
        <v/>
      </c>
      <c r="B119" s="116"/>
      <c r="C119" s="116"/>
      <c r="D119" s="116"/>
      <c r="E119" s="116"/>
      <c r="F119" s="116"/>
      <c r="G119" s="116"/>
      <c r="H119" s="116"/>
    </row>
    <row r="120" ht="15.75" customHeight="1">
      <c r="A120" s="85" t="str">
        <f t="shared" si="19"/>
        <v/>
      </c>
      <c r="B120" s="116"/>
      <c r="C120" s="116"/>
      <c r="D120" s="116"/>
      <c r="E120" s="116"/>
      <c r="F120" s="116"/>
      <c r="G120" s="116"/>
      <c r="H120" s="116"/>
    </row>
    <row r="121" ht="15.75" customHeight="1">
      <c r="A121" s="85" t="str">
        <f t="shared" si="19"/>
        <v/>
      </c>
      <c r="B121" s="116"/>
      <c r="C121" s="116"/>
      <c r="D121" s="116"/>
      <c r="E121" s="116"/>
      <c r="F121" s="116"/>
      <c r="G121" s="116"/>
      <c r="H121" s="116"/>
    </row>
    <row r="122" ht="15.75" customHeight="1">
      <c r="A122" s="85" t="str">
        <f t="shared" si="19"/>
        <v/>
      </c>
      <c r="B122" s="116"/>
      <c r="C122" s="116"/>
      <c r="D122" s="116"/>
      <c r="E122" s="116"/>
      <c r="F122" s="116"/>
      <c r="G122" s="116"/>
      <c r="H122" s="116"/>
    </row>
    <row r="123" ht="15.75" customHeight="1">
      <c r="A123" s="117" t="str">
        <f t="shared" si="19"/>
        <v>Pomegranate</v>
      </c>
      <c r="B123" s="116"/>
      <c r="C123" s="116"/>
      <c r="D123" s="116"/>
      <c r="E123" s="116"/>
      <c r="F123" s="116"/>
      <c r="G123" s="116"/>
      <c r="H123" s="116"/>
    </row>
    <row r="124" ht="15.75" customHeight="1">
      <c r="A124" s="85" t="s">
        <v>723</v>
      </c>
      <c r="B124" s="116" t="str">
        <f t="shared" ref="B124:H124" si="20">(B$62*50%)*0.7</f>
        <v>  -   </v>
      </c>
      <c r="C124" s="116" t="str">
        <f t="shared" si="20"/>
        <v>  -   </v>
      </c>
      <c r="D124" s="116" t="str">
        <f t="shared" si="20"/>
        <v>  -   </v>
      </c>
      <c r="E124" s="116" t="str">
        <f t="shared" si="20"/>
        <v>  -   </v>
      </c>
      <c r="F124" s="116" t="str">
        <f t="shared" si="20"/>
        <v>  -   </v>
      </c>
      <c r="G124" s="116" t="str">
        <f t="shared" si="20"/>
        <v>  -   </v>
      </c>
      <c r="H124" s="116" t="str">
        <f t="shared" si="20"/>
        <v>  -   </v>
      </c>
    </row>
    <row r="125" ht="15.75" customHeight="1">
      <c r="A125" s="85" t="s">
        <v>724</v>
      </c>
      <c r="B125" s="116" t="str">
        <f>(B$62*50%)*0.7*2</f>
        <v>  -   </v>
      </c>
      <c r="C125" s="116" t="str">
        <f t="shared" ref="C125:H125" si="21">(C$62*50%)*0.7</f>
        <v>  -   </v>
      </c>
      <c r="D125" s="116" t="str">
        <f t="shared" si="21"/>
        <v>  -   </v>
      </c>
      <c r="E125" s="116" t="str">
        <f t="shared" si="21"/>
        <v>  -   </v>
      </c>
      <c r="F125" s="116" t="str">
        <f t="shared" si="21"/>
        <v>  -   </v>
      </c>
      <c r="G125" s="116" t="str">
        <f t="shared" si="21"/>
        <v>  -   </v>
      </c>
      <c r="H125" s="116" t="str">
        <f t="shared" si="21"/>
        <v>  -   </v>
      </c>
    </row>
    <row r="126" ht="15.75" customHeight="1">
      <c r="A126" s="85" t="s">
        <v>725</v>
      </c>
      <c r="B126" s="116" t="str">
        <f>(B$62*0.3)*0.2</f>
        <v>  -   </v>
      </c>
      <c r="C126" s="116" t="str">
        <f t="shared" ref="C126:H126" si="22">(C$62*50%)*0.7</f>
        <v>  -   </v>
      </c>
      <c r="D126" s="116" t="str">
        <f t="shared" si="22"/>
        <v>  -   </v>
      </c>
      <c r="E126" s="116" t="str">
        <f t="shared" si="22"/>
        <v>  -   </v>
      </c>
      <c r="F126" s="116" t="str">
        <f t="shared" si="22"/>
        <v>  -   </v>
      </c>
      <c r="G126" s="116" t="str">
        <f t="shared" si="22"/>
        <v>  -   </v>
      </c>
      <c r="H126" s="116" t="str">
        <f t="shared" si="22"/>
        <v>  -   </v>
      </c>
    </row>
    <row r="127" ht="15.75" customHeight="1">
      <c r="A127" s="85" t="str">
        <f>A63</f>
        <v>Custard Apple</v>
      </c>
      <c r="B127" s="116"/>
      <c r="C127" s="116"/>
      <c r="D127" s="116"/>
      <c r="E127" s="116"/>
      <c r="F127" s="116"/>
      <c r="G127" s="116"/>
      <c r="H127" s="116"/>
    </row>
    <row r="128" ht="15.75" customHeight="1">
      <c r="A128" s="85"/>
      <c r="B128" s="116"/>
      <c r="C128" s="116"/>
      <c r="D128" s="116"/>
      <c r="E128" s="116"/>
      <c r="F128" s="116"/>
      <c r="G128" s="116"/>
      <c r="H128" s="116"/>
    </row>
    <row r="129" ht="15.75" customHeight="1">
      <c r="A129" s="85"/>
      <c r="B129" s="116"/>
      <c r="C129" s="116"/>
      <c r="D129" s="116"/>
      <c r="E129" s="116"/>
      <c r="F129" s="116"/>
      <c r="G129" s="116"/>
      <c r="H129" s="116"/>
    </row>
    <row r="130" ht="15.75" customHeight="1">
      <c r="A130" s="85"/>
      <c r="B130" s="116"/>
      <c r="C130" s="116"/>
      <c r="D130" s="116"/>
      <c r="E130" s="116"/>
      <c r="F130" s="116"/>
      <c r="G130" s="116"/>
      <c r="H130" s="116"/>
    </row>
    <row r="131" ht="15.75" customHeight="1">
      <c r="A131" s="85" t="str">
        <f>A64</f>
        <v>Guava</v>
      </c>
      <c r="B131" s="116"/>
      <c r="C131" s="116"/>
      <c r="D131" s="116"/>
      <c r="E131" s="116"/>
      <c r="F131" s="116"/>
      <c r="G131" s="116"/>
      <c r="H131" s="116"/>
    </row>
    <row r="132" ht="15.75" customHeight="1">
      <c r="A132" s="85"/>
      <c r="B132" s="116"/>
      <c r="C132" s="116"/>
      <c r="D132" s="116"/>
      <c r="E132" s="116"/>
      <c r="F132" s="116"/>
      <c r="G132" s="116"/>
      <c r="H132" s="116"/>
    </row>
    <row r="133" ht="15.75" customHeight="1">
      <c r="A133" s="85"/>
      <c r="B133" s="116"/>
      <c r="C133" s="116"/>
      <c r="D133" s="116"/>
      <c r="E133" s="116"/>
      <c r="F133" s="116"/>
      <c r="G133" s="116"/>
      <c r="H133" s="116"/>
    </row>
    <row r="134" ht="15.75" customHeight="1">
      <c r="A134" s="85"/>
      <c r="B134" s="116"/>
      <c r="C134" s="116"/>
      <c r="D134" s="116"/>
      <c r="E134" s="116"/>
      <c r="F134" s="116"/>
      <c r="G134" s="116"/>
      <c r="H134" s="116"/>
    </row>
    <row r="135" ht="15.75" customHeight="1">
      <c r="A135" s="85" t="str">
        <f>A65</f>
        <v>Citrus</v>
      </c>
      <c r="B135" s="116"/>
      <c r="C135" s="116"/>
      <c r="D135" s="116"/>
      <c r="E135" s="116"/>
      <c r="F135" s="116"/>
      <c r="G135" s="116"/>
      <c r="H135" s="116"/>
    </row>
    <row r="136" ht="15.75" customHeight="1">
      <c r="A136" s="85"/>
      <c r="B136" s="116"/>
      <c r="C136" s="116"/>
      <c r="D136" s="116"/>
      <c r="E136" s="116"/>
      <c r="F136" s="116"/>
      <c r="G136" s="116"/>
      <c r="H136" s="116"/>
    </row>
    <row r="137" ht="15.75" customHeight="1">
      <c r="A137" s="85"/>
      <c r="B137" s="116"/>
      <c r="C137" s="116"/>
      <c r="D137" s="116"/>
      <c r="E137" s="116"/>
      <c r="F137" s="116"/>
      <c r="G137" s="116"/>
      <c r="H137" s="116"/>
    </row>
    <row r="138" ht="15.75" customHeight="1">
      <c r="A138" s="85"/>
      <c r="B138" s="116"/>
      <c r="C138" s="116"/>
      <c r="D138" s="116"/>
      <c r="E138" s="116"/>
      <c r="F138" s="116"/>
      <c r="G138" s="116"/>
      <c r="H138" s="116"/>
    </row>
    <row r="139" ht="15.75" customHeight="1">
      <c r="A139" s="110"/>
      <c r="B139" s="165"/>
      <c r="C139" s="165"/>
      <c r="D139" s="165"/>
      <c r="E139" s="165"/>
      <c r="F139" s="165"/>
      <c r="G139" s="165"/>
      <c r="H139" s="165"/>
    </row>
    <row r="140" ht="15.75" customHeight="1">
      <c r="A140" s="110" t="s">
        <v>643</v>
      </c>
    </row>
    <row r="141" ht="15.75" customHeight="1">
      <c r="A141" t="s">
        <v>726</v>
      </c>
      <c r="B141" s="206" t="str">
        <f t="shared" ref="B141:H141" si="23">(B124*100)</f>
        <v>  -   </v>
      </c>
      <c r="C141" s="206" t="str">
        <f t="shared" si="23"/>
        <v>  -   </v>
      </c>
      <c r="D141" s="206" t="str">
        <f t="shared" si="23"/>
        <v>  -   </v>
      </c>
      <c r="E141" s="206" t="str">
        <f t="shared" si="23"/>
        <v>  -   </v>
      </c>
      <c r="F141" s="206" t="str">
        <f t="shared" si="23"/>
        <v>  -   </v>
      </c>
      <c r="G141" s="206" t="str">
        <f t="shared" si="23"/>
        <v>  -   </v>
      </c>
      <c r="H141" s="206" t="str">
        <f t="shared" si="23"/>
        <v>  -   </v>
      </c>
    </row>
    <row r="142" ht="15.75" customHeight="1">
      <c r="A142" t="s">
        <v>727</v>
      </c>
      <c r="B142" s="206" t="str">
        <f t="shared" ref="B142:H142" si="24">(B125*100)</f>
        <v>  -   </v>
      </c>
      <c r="C142" s="206" t="str">
        <f t="shared" si="24"/>
        <v>  -   </v>
      </c>
      <c r="D142" s="206" t="str">
        <f t="shared" si="24"/>
        <v>  -   </v>
      </c>
      <c r="E142" s="206" t="str">
        <f t="shared" si="24"/>
        <v>  -   </v>
      </c>
      <c r="F142" s="206" t="str">
        <f t="shared" si="24"/>
        <v>  -   </v>
      </c>
      <c r="G142" s="206" t="str">
        <f t="shared" si="24"/>
        <v>  -   </v>
      </c>
      <c r="H142" s="206" t="str">
        <f t="shared" si="24"/>
        <v>  -   </v>
      </c>
    </row>
    <row r="143" ht="15.75" customHeight="1">
      <c r="A143" t="s">
        <v>728</v>
      </c>
      <c r="B143" s="206" t="str">
        <f t="shared" ref="B143:H143" si="25">(B126*100)</f>
        <v>  -   </v>
      </c>
      <c r="C143" s="206" t="str">
        <f t="shared" si="25"/>
        <v>  -   </v>
      </c>
      <c r="D143" s="206" t="str">
        <f t="shared" si="25"/>
        <v>  -   </v>
      </c>
      <c r="E143" s="206" t="str">
        <f t="shared" si="25"/>
        <v>  -   </v>
      </c>
      <c r="F143" s="206" t="str">
        <f t="shared" si="25"/>
        <v>  -   </v>
      </c>
      <c r="G143" s="206" t="str">
        <f t="shared" si="25"/>
        <v>  -   </v>
      </c>
      <c r="H143" s="206" t="str">
        <f t="shared" si="25"/>
        <v>  -   </v>
      </c>
    </row>
    <row r="144" ht="15.75" customHeight="1"/>
    <row r="145" ht="15.75" customHeight="1">
      <c r="B145" s="206"/>
      <c r="C145" s="206"/>
    </row>
    <row r="146" ht="15.75" customHeight="1">
      <c r="B146" s="206"/>
      <c r="C146" s="206"/>
      <c r="D146" s="206"/>
    </row>
    <row r="147" ht="15.75" customHeight="1">
      <c r="A147" s="26" t="s">
        <v>729</v>
      </c>
    </row>
    <row r="148" ht="15.75" customHeight="1">
      <c r="A148" s="45"/>
      <c r="B148" s="45"/>
      <c r="C148" s="45"/>
      <c r="D148" s="45"/>
      <c r="E148" s="45"/>
      <c r="F148" s="45"/>
      <c r="G148" s="45"/>
      <c r="H148" s="45"/>
    </row>
    <row r="149" ht="15.75" customHeight="1">
      <c r="A149" s="352"/>
      <c r="B149" s="352"/>
      <c r="C149" s="352"/>
      <c r="D149" s="353">
        <v>1.0</v>
      </c>
      <c r="E149" s="354" t="str">
        <f t="shared" ref="E149:J149" si="26">(D149*5%)+D149</f>
        <v>105.00%</v>
      </c>
      <c r="F149" s="354" t="str">
        <f t="shared" si="26"/>
        <v>110.25%</v>
      </c>
      <c r="G149" s="354" t="str">
        <f t="shared" si="26"/>
        <v>115.76%</v>
      </c>
      <c r="H149" s="354" t="str">
        <f t="shared" si="26"/>
        <v>121.55%</v>
      </c>
      <c r="I149" s="354" t="str">
        <f t="shared" si="26"/>
        <v>127.63%</v>
      </c>
      <c r="J149" s="354" t="str">
        <f t="shared" si="26"/>
        <v>134.01%</v>
      </c>
    </row>
    <row r="150" ht="15.75" customHeight="1">
      <c r="A150" s="110"/>
      <c r="B150" s="110"/>
      <c r="C150" s="110"/>
      <c r="D150" s="110"/>
      <c r="E150" s="110"/>
      <c r="F150" s="110"/>
      <c r="G150" s="110"/>
      <c r="H150" s="110"/>
      <c r="I150" s="110"/>
      <c r="J150" s="110"/>
    </row>
    <row r="151" ht="15.75" customHeight="1">
      <c r="A151" s="113" t="s">
        <v>174</v>
      </c>
      <c r="B151" s="113" t="s">
        <v>125</v>
      </c>
      <c r="C151" s="113" t="s">
        <v>141</v>
      </c>
      <c r="D151" s="114" t="s">
        <v>177</v>
      </c>
      <c r="E151" s="114" t="s">
        <v>178</v>
      </c>
      <c r="F151" s="114" t="s">
        <v>179</v>
      </c>
      <c r="G151" s="114" t="s">
        <v>180</v>
      </c>
      <c r="H151" s="114" t="s">
        <v>181</v>
      </c>
      <c r="I151" s="114" t="s">
        <v>182</v>
      </c>
      <c r="J151" s="114" t="s">
        <v>183</v>
      </c>
    </row>
    <row r="152" ht="15.75" customHeight="1">
      <c r="A152" s="85"/>
      <c r="B152" s="85"/>
      <c r="C152" s="85"/>
      <c r="D152" s="85"/>
      <c r="E152" s="85"/>
      <c r="F152" s="85"/>
      <c r="G152" s="85"/>
      <c r="H152" s="85"/>
      <c r="I152" s="85"/>
      <c r="J152" s="85"/>
    </row>
    <row r="153" ht="15.75" customHeight="1">
      <c r="A153" s="117" t="s">
        <v>377</v>
      </c>
      <c r="B153" s="117"/>
      <c r="C153" s="117"/>
      <c r="D153" s="180"/>
      <c r="E153" s="180"/>
      <c r="F153" s="180"/>
      <c r="G153" s="180"/>
      <c r="H153" s="180"/>
      <c r="I153" s="85"/>
      <c r="J153" s="85"/>
    </row>
    <row r="154" ht="15.75" customHeight="1">
      <c r="A154" s="85" t="str">
        <f t="shared" ref="A154:A156" si="27">A124</f>
        <v>Pomegranate Arils</v>
      </c>
      <c r="B154" s="72" t="s">
        <v>730</v>
      </c>
      <c r="C154" s="72">
        <v>150.0</v>
      </c>
      <c r="D154" s="116" t="str">
        <f>(B141*(1-'5.Closing Stock &amp; W Capital'!$D$17)*$C154*D$149)</f>
        <v>  -   </v>
      </c>
      <c r="E154" s="116" t="str">
        <f>(((C141*(1-'5.Closing Stock &amp; W Capital'!$D$17))+(B141*'5.Closing Stock &amp; W Capital'!$D$17))*$C154*E$149)</f>
        <v>  -   </v>
      </c>
      <c r="F154" s="116" t="str">
        <f>(((D141*(1-'5.Closing Stock &amp; W Capital'!$D$17))+(C141*'5.Closing Stock &amp; W Capital'!$D$17))*$C154*F$149)</f>
        <v>  -   </v>
      </c>
      <c r="G154" s="116" t="str">
        <f>(((E141*(1-'5.Closing Stock &amp; W Capital'!$D$17))+(D141*'5.Closing Stock &amp; W Capital'!$D$17))*$C154*G$149)</f>
        <v>  -   </v>
      </c>
      <c r="H154" s="116" t="str">
        <f>(((F141*(1-'5.Closing Stock &amp; W Capital'!$D$17))+(E141*'5.Closing Stock &amp; W Capital'!$D$17))*$C154*H$149)</f>
        <v>  -   </v>
      </c>
      <c r="I154" s="116" t="str">
        <f>(((G141*(1-'5.Closing Stock &amp; W Capital'!$D$17))+(F141*'5.Closing Stock &amp; W Capital'!$D$17))*$C154*I$149)</f>
        <v>  -   </v>
      </c>
      <c r="J154" s="116" t="str">
        <f>(((H141*(1-'5.Closing Stock &amp; W Capital'!$D$17))+(G141*'5.Closing Stock &amp; W Capital'!$D$17))*$C154*J$149)</f>
        <v>  -   </v>
      </c>
    </row>
    <row r="155" ht="15.75" customHeight="1">
      <c r="A155" s="85" t="str">
        <f t="shared" si="27"/>
        <v>Pomegranate Juice</v>
      </c>
      <c r="B155" s="72" t="s">
        <v>731</v>
      </c>
      <c r="C155" s="72">
        <v>40.0</v>
      </c>
      <c r="D155" s="116" t="str">
        <f>(B142*(1-'5.Closing Stock &amp; W Capital'!$D$17)*$C155*D$149)</f>
        <v>  -   </v>
      </c>
      <c r="E155" s="116" t="str">
        <f>(((C142*(1-'5.Closing Stock &amp; W Capital'!$D$17))+(B142*'5.Closing Stock &amp; W Capital'!$D$17))*$C155*E$149)</f>
        <v>  -   </v>
      </c>
      <c r="F155" s="116" t="str">
        <f>(((D142*(1-'5.Closing Stock &amp; W Capital'!$D$17))+(C142*'5.Closing Stock &amp; W Capital'!$D$17))*$C155*F$149)</f>
        <v>  -   </v>
      </c>
      <c r="G155" s="116" t="str">
        <f>(((E142*(1-'5.Closing Stock &amp; W Capital'!$D$17))+(D142*'5.Closing Stock &amp; W Capital'!$D$17))*$C155*G$149)</f>
        <v>  -   </v>
      </c>
      <c r="H155" s="116" t="str">
        <f>(((F142*(1-'5.Closing Stock &amp; W Capital'!$D$17))+(E142*'5.Closing Stock &amp; W Capital'!$D$17))*$C155*H$149)</f>
        <v>  -   </v>
      </c>
      <c r="I155" s="116" t="str">
        <f>(((G142*(1-'5.Closing Stock &amp; W Capital'!$D$17))+(F142*'5.Closing Stock &amp; W Capital'!$D$17))*$C155*I$149)</f>
        <v>  -   </v>
      </c>
      <c r="J155" s="116" t="str">
        <f>(((H142*(1-'5.Closing Stock &amp; W Capital'!$D$17))+(G142*'5.Closing Stock &amp; W Capital'!$D$17))*$C155*J$149)</f>
        <v>  -   </v>
      </c>
    </row>
    <row r="156" ht="15.75" customHeight="1">
      <c r="A156" s="85" t="str">
        <f t="shared" si="27"/>
        <v>Pomegranate Powder</v>
      </c>
      <c r="B156" s="72" t="s">
        <v>647</v>
      </c>
      <c r="C156" s="72">
        <v>50.0</v>
      </c>
      <c r="D156" s="116" t="str">
        <f>(B143*(1-'5.Closing Stock &amp; W Capital'!$D$17)*$C156*D$149)</f>
        <v>  -   </v>
      </c>
      <c r="E156" s="116" t="str">
        <f>(((C143*(1-'5.Closing Stock &amp; W Capital'!$D$17))+(B143*'5.Closing Stock &amp; W Capital'!$D$17))*$C156*E$149)</f>
        <v>  -   </v>
      </c>
      <c r="F156" s="116" t="str">
        <f>(((D143*(1-'5.Closing Stock &amp; W Capital'!$D$17))+(C143*'5.Closing Stock &amp; W Capital'!$D$17))*$C156*F$149)</f>
        <v>  -   </v>
      </c>
      <c r="G156" s="116" t="str">
        <f>(((E143*(1-'5.Closing Stock &amp; W Capital'!$D$17))+(D143*'5.Closing Stock &amp; W Capital'!$D$17))*$C156*G$149)</f>
        <v>  -   </v>
      </c>
      <c r="H156" s="116" t="str">
        <f>(((F143*(1-'5.Closing Stock &amp; W Capital'!$D$17))+(E143*'5.Closing Stock &amp; W Capital'!$D$17))*$C156*H$149)</f>
        <v>  -   </v>
      </c>
      <c r="I156" s="116" t="str">
        <f>(((G143*(1-'5.Closing Stock &amp; W Capital'!$D$17))+(F143*'5.Closing Stock &amp; W Capital'!$D$17))*$C156*I$149)</f>
        <v>  -   </v>
      </c>
      <c r="J156" s="116" t="str">
        <f>(((H143*(1-'5.Closing Stock &amp; W Capital'!$D$17))+(G143*'5.Closing Stock &amp; W Capital'!$D$17))*$C156*J$149)</f>
        <v>  -   </v>
      </c>
    </row>
    <row r="157" ht="15.75" customHeight="1">
      <c r="A157" s="85"/>
      <c r="B157" s="72"/>
      <c r="C157" s="72"/>
      <c r="D157" s="116"/>
      <c r="E157" s="116"/>
      <c r="F157" s="116"/>
      <c r="G157" s="116"/>
      <c r="H157" s="116"/>
      <c r="I157" s="116"/>
      <c r="J157" s="116"/>
    </row>
    <row r="158" ht="15.75" customHeight="1">
      <c r="A158" s="85"/>
      <c r="B158" s="85"/>
      <c r="C158" s="85"/>
      <c r="D158" s="116"/>
      <c r="E158" s="116"/>
      <c r="F158" s="116"/>
      <c r="G158" s="116"/>
      <c r="H158" s="116"/>
      <c r="I158" s="116"/>
      <c r="J158" s="116"/>
    </row>
    <row r="159" ht="15.75" customHeight="1">
      <c r="A159" s="117" t="s">
        <v>377</v>
      </c>
      <c r="B159" s="117"/>
      <c r="C159" s="117"/>
      <c r="D159" s="118" t="str">
        <f t="shared" ref="D159:J159" si="28">SUM(D154:D157)</f>
        <v>  -   </v>
      </c>
      <c r="E159" s="118" t="str">
        <f t="shared" si="28"/>
        <v>  -   </v>
      </c>
      <c r="F159" s="118" t="str">
        <f t="shared" si="28"/>
        <v>  -   </v>
      </c>
      <c r="G159" s="118" t="str">
        <f t="shared" si="28"/>
        <v>  -   </v>
      </c>
      <c r="H159" s="118" t="str">
        <f t="shared" si="28"/>
        <v>  -   </v>
      </c>
      <c r="I159" s="118" t="str">
        <f t="shared" si="28"/>
        <v>  -   </v>
      </c>
      <c r="J159" s="118" t="str">
        <f t="shared" si="28"/>
        <v>  -   </v>
      </c>
    </row>
    <row r="160" ht="15.75" customHeight="1">
      <c r="A160" s="85"/>
      <c r="B160" s="85"/>
      <c r="C160" s="85"/>
      <c r="D160" s="116"/>
      <c r="E160" s="116"/>
      <c r="F160" s="116"/>
      <c r="G160" s="116"/>
      <c r="H160" s="116"/>
      <c r="I160" s="116"/>
      <c r="J160" s="116"/>
    </row>
    <row r="161" ht="15.75" customHeight="1">
      <c r="A161" s="117" t="s">
        <v>618</v>
      </c>
      <c r="B161" s="117"/>
      <c r="C161" s="117"/>
      <c r="D161" s="116"/>
      <c r="E161" s="116"/>
      <c r="F161" s="116"/>
      <c r="G161" s="116"/>
      <c r="H161" s="116"/>
      <c r="I161" s="116"/>
      <c r="J161" s="116"/>
    </row>
    <row r="162" ht="15.75" customHeight="1">
      <c r="A162" s="117" t="s">
        <v>385</v>
      </c>
      <c r="B162" s="117"/>
      <c r="C162" s="85"/>
      <c r="D162" s="116"/>
      <c r="E162" s="116"/>
      <c r="F162" s="116"/>
      <c r="G162" s="116"/>
      <c r="H162" s="116"/>
      <c r="I162" s="116"/>
      <c r="J162" s="116"/>
    </row>
    <row r="163" ht="15.75" customHeight="1">
      <c r="A163" s="85" t="s">
        <v>732</v>
      </c>
      <c r="B163" s="72" t="s">
        <v>616</v>
      </c>
      <c r="C163" s="115">
        <v>0.0</v>
      </c>
      <c r="D163" s="116" t="str">
        <f t="shared" ref="D163:J163" si="29">B62*$C163*D$149</f>
        <v>  -   </v>
      </c>
      <c r="E163" s="116" t="str">
        <f t="shared" si="29"/>
        <v>  -   </v>
      </c>
      <c r="F163" s="116" t="str">
        <f t="shared" si="29"/>
        <v>  -   </v>
      </c>
      <c r="G163" s="116" t="str">
        <f t="shared" si="29"/>
        <v>  -   </v>
      </c>
      <c r="H163" s="116" t="str">
        <f t="shared" si="29"/>
        <v>  -   </v>
      </c>
      <c r="I163" s="116" t="str">
        <f t="shared" si="29"/>
        <v>  -   </v>
      </c>
      <c r="J163" s="116" t="str">
        <f t="shared" si="29"/>
        <v>  -   </v>
      </c>
    </row>
    <row r="164" ht="15.75" customHeight="1">
      <c r="A164" s="85" t="s">
        <v>733</v>
      </c>
      <c r="B164" s="72" t="s">
        <v>616</v>
      </c>
      <c r="C164" s="72">
        <v>0.0</v>
      </c>
      <c r="D164" s="116" t="str">
        <f t="shared" ref="D164:J164" si="30">(B62*10%)*$C164*D$149</f>
        <v>  -   </v>
      </c>
      <c r="E164" s="116" t="str">
        <f t="shared" si="30"/>
        <v>  -   </v>
      </c>
      <c r="F164" s="116" t="str">
        <f t="shared" si="30"/>
        <v>  -   </v>
      </c>
      <c r="G164" s="116" t="str">
        <f t="shared" si="30"/>
        <v>  -   </v>
      </c>
      <c r="H164" s="116" t="str">
        <f t="shared" si="30"/>
        <v>  -   </v>
      </c>
      <c r="I164" s="116" t="str">
        <f t="shared" si="30"/>
        <v>  -   </v>
      </c>
      <c r="J164" s="116" t="str">
        <f t="shared" si="30"/>
        <v>  -   </v>
      </c>
    </row>
    <row r="165" ht="15.75" customHeight="1">
      <c r="A165" s="85" t="s">
        <v>648</v>
      </c>
      <c r="B165" s="72">
        <v>5.0</v>
      </c>
      <c r="C165" s="72">
        <v>0.0</v>
      </c>
      <c r="D165" s="116" t="str">
        <f t="shared" ref="D165:J165" si="31">B12*$B$165*$C$165*D149</f>
        <v>  -   </v>
      </c>
      <c r="E165" s="116" t="str">
        <f t="shared" si="31"/>
        <v>  -   </v>
      </c>
      <c r="F165" s="116" t="str">
        <f t="shared" si="31"/>
        <v>  -   </v>
      </c>
      <c r="G165" s="116" t="str">
        <f t="shared" si="31"/>
        <v>  -   </v>
      </c>
      <c r="H165" s="116" t="str">
        <f t="shared" si="31"/>
        <v>  -   </v>
      </c>
      <c r="I165" s="116" t="str">
        <f t="shared" si="31"/>
        <v>  -   </v>
      </c>
      <c r="J165" s="116" t="str">
        <f t="shared" si="31"/>
        <v>  -   </v>
      </c>
    </row>
    <row r="166" ht="15.75" customHeight="1">
      <c r="A166" s="85" t="s">
        <v>620</v>
      </c>
      <c r="B166" s="85" t="str">
        <f>'2.Capex Details'!H68*0.746*8</f>
        <v>0</v>
      </c>
      <c r="C166" s="72">
        <v>0.0</v>
      </c>
      <c r="D166" s="116" t="str">
        <f t="shared" ref="D166:J166" si="32">$B$166*$C$166*B12*D149</f>
        <v>  -   </v>
      </c>
      <c r="E166" s="116" t="str">
        <f t="shared" si="32"/>
        <v>  -   </v>
      </c>
      <c r="F166" s="116" t="str">
        <f t="shared" si="32"/>
        <v>  -   </v>
      </c>
      <c r="G166" s="116" t="str">
        <f t="shared" si="32"/>
        <v>  -   </v>
      </c>
      <c r="H166" s="116" t="str">
        <f t="shared" si="32"/>
        <v>  -   </v>
      </c>
      <c r="I166" s="116" t="str">
        <f t="shared" si="32"/>
        <v>  -   </v>
      </c>
      <c r="J166" s="116" t="str">
        <f t="shared" si="32"/>
        <v>  -   </v>
      </c>
    </row>
    <row r="167" ht="15.75" customHeight="1">
      <c r="A167" s="85" t="s">
        <v>649</v>
      </c>
      <c r="B167" s="85" t="s">
        <v>616</v>
      </c>
      <c r="C167" s="72">
        <v>0.0</v>
      </c>
      <c r="D167" s="116" t="str">
        <f t="shared" ref="D167:J167" si="33">B62*$C167*D$149</f>
        <v>  -   </v>
      </c>
      <c r="E167" s="116" t="str">
        <f t="shared" si="33"/>
        <v>  -   </v>
      </c>
      <c r="F167" s="116" t="str">
        <f t="shared" si="33"/>
        <v>  -   </v>
      </c>
      <c r="G167" s="116" t="str">
        <f t="shared" si="33"/>
        <v>  -   </v>
      </c>
      <c r="H167" s="116" t="str">
        <f t="shared" si="33"/>
        <v>  -   </v>
      </c>
      <c r="I167" s="116" t="str">
        <f t="shared" si="33"/>
        <v>  -   </v>
      </c>
      <c r="J167" s="116" t="str">
        <f t="shared" si="33"/>
        <v>  -   </v>
      </c>
    </row>
    <row r="168" ht="15.75" customHeight="1">
      <c r="A168" s="279" t="s">
        <v>650</v>
      </c>
      <c r="B168" s="279"/>
      <c r="C168" s="361">
        <v>0.0</v>
      </c>
      <c r="D168" s="116" t="str">
        <f t="shared" ref="D168:J168" si="34">SUM(B141:B143)*$C$168*D$149</f>
        <v>  -   </v>
      </c>
      <c r="E168" s="116" t="str">
        <f t="shared" si="34"/>
        <v>  -   </v>
      </c>
      <c r="F168" s="116" t="str">
        <f t="shared" si="34"/>
        <v>  -   </v>
      </c>
      <c r="G168" s="116" t="str">
        <f t="shared" si="34"/>
        <v>  -   </v>
      </c>
      <c r="H168" s="116" t="str">
        <f t="shared" si="34"/>
        <v>  -   </v>
      </c>
      <c r="I168" s="116" t="str">
        <f t="shared" si="34"/>
        <v>  -   </v>
      </c>
      <c r="J168" s="116" t="str">
        <f t="shared" si="34"/>
        <v>  -   </v>
      </c>
    </row>
    <row r="169" ht="15.75" customHeight="1">
      <c r="A169" s="85" t="s">
        <v>651</v>
      </c>
      <c r="B169" s="85"/>
      <c r="C169" s="72">
        <v>0.0</v>
      </c>
      <c r="D169" s="116" t="str">
        <f t="shared" ref="D169:J169" si="35">SUM(B141:B143)*$C$169*D$149</f>
        <v>  -   </v>
      </c>
      <c r="E169" s="116" t="str">
        <f t="shared" si="35"/>
        <v>  -   </v>
      </c>
      <c r="F169" s="116" t="str">
        <f t="shared" si="35"/>
        <v>  -   </v>
      </c>
      <c r="G169" s="116" t="str">
        <f t="shared" si="35"/>
        <v>  -   </v>
      </c>
      <c r="H169" s="116" t="str">
        <f t="shared" si="35"/>
        <v>  -   </v>
      </c>
      <c r="I169" s="116" t="str">
        <f t="shared" si="35"/>
        <v>  -   </v>
      </c>
      <c r="J169" s="116" t="str">
        <f t="shared" si="35"/>
        <v>  -   </v>
      </c>
    </row>
    <row r="170" ht="15.75" customHeight="1">
      <c r="A170" s="189"/>
      <c r="B170" s="189"/>
      <c r="C170" s="189"/>
      <c r="D170" s="189"/>
      <c r="E170" s="189"/>
      <c r="F170" s="189"/>
      <c r="G170" s="189"/>
      <c r="H170" s="189"/>
      <c r="I170" s="189"/>
      <c r="J170" s="189"/>
    </row>
    <row r="171" ht="15.75" customHeight="1">
      <c r="A171" s="189"/>
      <c r="B171" s="189"/>
      <c r="C171" s="189"/>
      <c r="D171" s="189"/>
      <c r="E171" s="189"/>
      <c r="F171" s="189"/>
      <c r="G171" s="189"/>
      <c r="H171" s="189"/>
      <c r="I171" s="189"/>
      <c r="J171" s="189"/>
    </row>
    <row r="172" ht="15.75" customHeight="1">
      <c r="A172" s="189"/>
      <c r="B172" s="189"/>
      <c r="C172" s="189"/>
      <c r="D172" s="189"/>
      <c r="E172" s="189"/>
      <c r="F172" s="189"/>
      <c r="G172" s="189"/>
      <c r="H172" s="189"/>
      <c r="I172" s="189"/>
      <c r="J172" s="189"/>
    </row>
    <row r="173" ht="15.75" customHeight="1">
      <c r="A173" s="189"/>
      <c r="B173" s="189"/>
      <c r="C173" s="189"/>
      <c r="D173" s="189"/>
      <c r="E173" s="189"/>
      <c r="F173" s="189"/>
      <c r="G173" s="189"/>
      <c r="H173" s="189"/>
      <c r="I173" s="189"/>
      <c r="J173" s="189"/>
    </row>
    <row r="174" ht="15.75" customHeight="1">
      <c r="A174" s="116" t="s">
        <v>623</v>
      </c>
      <c r="B174" s="116"/>
      <c r="C174" s="116"/>
      <c r="D174" s="116"/>
      <c r="E174" s="116">
        <v>0.0</v>
      </c>
      <c r="F174" s="116">
        <v>0.0</v>
      </c>
      <c r="G174" s="116">
        <v>0.0</v>
      </c>
      <c r="H174" s="116">
        <v>0.0</v>
      </c>
      <c r="I174" s="116">
        <v>0.0</v>
      </c>
      <c r="J174" s="116">
        <v>0.0</v>
      </c>
    </row>
    <row r="175" ht="15.75" customHeight="1">
      <c r="A175" s="116" t="s">
        <v>624</v>
      </c>
      <c r="B175" s="116"/>
      <c r="C175" s="116"/>
      <c r="D175" s="116">
        <v>0.0</v>
      </c>
      <c r="E175" s="116">
        <v>0.0</v>
      </c>
      <c r="F175" s="116">
        <v>0.0</v>
      </c>
      <c r="G175" s="116">
        <v>0.0</v>
      </c>
      <c r="H175" s="116">
        <v>0.0</v>
      </c>
      <c r="I175" s="116">
        <v>0.0</v>
      </c>
      <c r="J175" s="116">
        <v>0.0</v>
      </c>
    </row>
    <row r="176" ht="15.75" customHeight="1">
      <c r="A176" s="116"/>
      <c r="B176" s="116"/>
      <c r="C176" s="116"/>
      <c r="D176" s="116"/>
      <c r="E176" s="116"/>
      <c r="F176" s="116"/>
      <c r="G176" s="116"/>
      <c r="H176" s="116"/>
      <c r="I176" s="116"/>
      <c r="J176" s="116"/>
    </row>
    <row r="177" ht="15.75" customHeight="1">
      <c r="A177" s="118" t="s">
        <v>386</v>
      </c>
      <c r="B177" s="116"/>
      <c r="C177" s="116"/>
      <c r="D177" s="118" t="str">
        <f t="shared" ref="D177:J177" si="36">SUM(D163:D174)-D175</f>
        <v>  -   </v>
      </c>
      <c r="E177" s="118" t="str">
        <f t="shared" si="36"/>
        <v>  -   </v>
      </c>
      <c r="F177" s="118" t="str">
        <f t="shared" si="36"/>
        <v>  -   </v>
      </c>
      <c r="G177" s="118" t="str">
        <f t="shared" si="36"/>
        <v>  -   </v>
      </c>
      <c r="H177" s="118" t="str">
        <f t="shared" si="36"/>
        <v>  -   </v>
      </c>
      <c r="I177" s="118" t="str">
        <f t="shared" si="36"/>
        <v>  -   </v>
      </c>
      <c r="J177" s="118" t="str">
        <f t="shared" si="36"/>
        <v>  -   </v>
      </c>
    </row>
    <row r="178" ht="15.75" customHeight="1">
      <c r="A178" s="110"/>
      <c r="B178" s="110"/>
      <c r="C178" s="110"/>
      <c r="D178" s="110"/>
      <c r="E178" s="110"/>
      <c r="F178" s="110"/>
      <c r="G178" s="110"/>
      <c r="H178" s="110"/>
      <c r="I178" s="110"/>
      <c r="J178" s="110"/>
    </row>
    <row r="179" ht="15.75" customHeight="1">
      <c r="A179" s="362" t="s">
        <v>387</v>
      </c>
      <c r="B179" s="362"/>
      <c r="C179" s="362"/>
      <c r="D179" s="118"/>
      <c r="E179" s="118"/>
      <c r="F179" s="118"/>
      <c r="G179" s="118"/>
      <c r="H179" s="118"/>
      <c r="I179" s="118"/>
      <c r="J179" s="118"/>
    </row>
    <row r="180" ht="15.75" customHeight="1">
      <c r="A180" s="85" t="s">
        <v>652</v>
      </c>
      <c r="B180" s="72">
        <v>1.0</v>
      </c>
      <c r="C180" s="115"/>
      <c r="D180" s="116" t="str">
        <f t="shared" ref="D180:J180" si="37">$B$180*$C$180*12*D149</f>
        <v>  -   </v>
      </c>
      <c r="E180" s="116" t="str">
        <f t="shared" si="37"/>
        <v>  -   </v>
      </c>
      <c r="F180" s="116" t="str">
        <f t="shared" si="37"/>
        <v>  -   </v>
      </c>
      <c r="G180" s="116" t="str">
        <f t="shared" si="37"/>
        <v>  -   </v>
      </c>
      <c r="H180" s="116" t="str">
        <f t="shared" si="37"/>
        <v>  -   </v>
      </c>
      <c r="I180" s="116" t="str">
        <f t="shared" si="37"/>
        <v>  -   </v>
      </c>
      <c r="J180" s="116" t="str">
        <f t="shared" si="37"/>
        <v>  -   </v>
      </c>
    </row>
    <row r="181" ht="15.75" customHeight="1">
      <c r="A181" s="85" t="s">
        <v>717</v>
      </c>
      <c r="B181" s="72">
        <v>2.0</v>
      </c>
      <c r="C181" s="115"/>
      <c r="D181" s="116" t="str">
        <f t="shared" ref="D181:J181" si="38">$B$181*$C$181*12*D149</f>
        <v>  -   </v>
      </c>
      <c r="E181" s="116" t="str">
        <f t="shared" si="38"/>
        <v>  -   </v>
      </c>
      <c r="F181" s="116" t="str">
        <f t="shared" si="38"/>
        <v>  -   </v>
      </c>
      <c r="G181" s="116" t="str">
        <f t="shared" si="38"/>
        <v>  -   </v>
      </c>
      <c r="H181" s="116" t="str">
        <f t="shared" si="38"/>
        <v>  -   </v>
      </c>
      <c r="I181" s="116" t="str">
        <f t="shared" si="38"/>
        <v>  -   </v>
      </c>
      <c r="J181" s="116" t="str">
        <f t="shared" si="38"/>
        <v>  -   </v>
      </c>
    </row>
    <row r="182" ht="15.75" customHeight="1">
      <c r="A182" s="85"/>
      <c r="B182" s="72"/>
      <c r="C182" s="115"/>
      <c r="D182" s="116"/>
      <c r="E182" s="116"/>
      <c r="F182" s="116"/>
      <c r="G182" s="116"/>
      <c r="H182" s="116"/>
      <c r="I182" s="116"/>
      <c r="J182" s="116"/>
    </row>
    <row r="183" ht="15.75" customHeight="1">
      <c r="A183" s="85"/>
      <c r="B183" s="72"/>
      <c r="C183" s="115"/>
      <c r="D183" s="116"/>
      <c r="E183" s="116"/>
      <c r="F183" s="116"/>
      <c r="G183" s="116"/>
      <c r="H183" s="116"/>
      <c r="I183" s="116"/>
      <c r="J183" s="116"/>
    </row>
    <row r="184" ht="15.75" customHeight="1">
      <c r="A184" s="85"/>
      <c r="B184" s="72"/>
      <c r="C184" s="115"/>
      <c r="D184" s="116"/>
      <c r="E184" s="116"/>
      <c r="F184" s="116"/>
      <c r="G184" s="116"/>
      <c r="H184" s="116"/>
      <c r="I184" s="116"/>
      <c r="J184" s="116"/>
    </row>
    <row r="185" ht="15.75" customHeight="1">
      <c r="A185" s="117" t="s">
        <v>387</v>
      </c>
      <c r="B185" s="117"/>
      <c r="C185" s="117"/>
      <c r="D185" s="118" t="str">
        <f t="shared" ref="D185:J185" si="39">SUM(D180:D184)</f>
        <v>  -   </v>
      </c>
      <c r="E185" s="118" t="str">
        <f t="shared" si="39"/>
        <v>  -   </v>
      </c>
      <c r="F185" s="118" t="str">
        <f t="shared" si="39"/>
        <v>  -   </v>
      </c>
      <c r="G185" s="118" t="str">
        <f t="shared" si="39"/>
        <v>  -   </v>
      </c>
      <c r="H185" s="118" t="str">
        <f t="shared" si="39"/>
        <v>  -   </v>
      </c>
      <c r="I185" s="118" t="str">
        <f t="shared" si="39"/>
        <v>  -   </v>
      </c>
      <c r="J185" s="118" t="str">
        <f t="shared" si="39"/>
        <v>  -   </v>
      </c>
    </row>
    <row r="186" ht="15.75" customHeight="1">
      <c r="A186" s="362" t="s">
        <v>653</v>
      </c>
      <c r="B186" s="362"/>
      <c r="C186" s="362"/>
      <c r="D186" s="118" t="str">
        <f t="shared" ref="D186:J186" si="40">D177+D185</f>
        <v>  -   </v>
      </c>
      <c r="E186" s="118" t="str">
        <f t="shared" si="40"/>
        <v>  -   </v>
      </c>
      <c r="F186" s="118" t="str">
        <f t="shared" si="40"/>
        <v>  -   </v>
      </c>
      <c r="G186" s="118" t="str">
        <f t="shared" si="40"/>
        <v>  -   </v>
      </c>
      <c r="H186" s="118" t="str">
        <f t="shared" si="40"/>
        <v>  -   </v>
      </c>
      <c r="I186" s="118" t="str">
        <f t="shared" si="40"/>
        <v>  -   </v>
      </c>
      <c r="J186" s="118" t="str">
        <f t="shared" si="40"/>
        <v>  -   </v>
      </c>
    </row>
    <row r="187" ht="15.75" customHeight="1">
      <c r="A187" s="85"/>
      <c r="B187" s="85"/>
      <c r="C187" s="85"/>
      <c r="D187" s="116"/>
      <c r="E187" s="116"/>
      <c r="F187" s="116"/>
      <c r="G187" s="116"/>
      <c r="H187" s="116"/>
      <c r="I187" s="116"/>
      <c r="J187" s="116"/>
    </row>
    <row r="188" ht="15.75" customHeight="1">
      <c r="A188" s="117" t="s">
        <v>434</v>
      </c>
      <c r="B188" s="117"/>
      <c r="C188" s="117"/>
      <c r="D188" s="118" t="str">
        <f t="shared" ref="D188:J188" si="41">D159-D186</f>
        <v>  -   </v>
      </c>
      <c r="E188" s="118" t="str">
        <f t="shared" si="41"/>
        <v>  -   </v>
      </c>
      <c r="F188" s="118" t="str">
        <f t="shared" si="41"/>
        <v>  -   </v>
      </c>
      <c r="G188" s="118" t="str">
        <f t="shared" si="41"/>
        <v>  -   </v>
      </c>
      <c r="H188" s="118" t="str">
        <f t="shared" si="41"/>
        <v>  -   </v>
      </c>
      <c r="I188" s="118" t="str">
        <f t="shared" si="41"/>
        <v>  -   </v>
      </c>
      <c r="J188" s="118" t="str">
        <f t="shared" si="41"/>
        <v>  -   </v>
      </c>
    </row>
    <row r="189" ht="15.75" customHeight="1">
      <c r="A189" s="275"/>
      <c r="B189" s="275"/>
      <c r="C189" s="275"/>
      <c r="D189" s="110"/>
      <c r="E189" s="110"/>
      <c r="F189" s="110"/>
      <c r="G189" s="110"/>
      <c r="H189" s="110"/>
      <c r="I189" s="110"/>
      <c r="J189" s="110"/>
    </row>
    <row r="190" ht="15.75" customHeight="1">
      <c r="A190" s="110"/>
      <c r="B190" s="110"/>
      <c r="C190" s="110"/>
      <c r="D190" s="110"/>
      <c r="E190" s="110"/>
      <c r="F190" s="110"/>
      <c r="G190" s="110"/>
      <c r="H190" s="110"/>
      <c r="I190" s="110"/>
      <c r="J190" s="110"/>
    </row>
    <row r="191" ht="15.75" customHeight="1">
      <c r="A191" s="110"/>
      <c r="B191" s="110"/>
      <c r="C191" s="110"/>
      <c r="D191" s="110"/>
      <c r="E191" s="110"/>
      <c r="F191" s="110"/>
      <c r="G191" s="110"/>
      <c r="H191" s="110"/>
      <c r="I191" s="110"/>
      <c r="J191" s="110"/>
    </row>
    <row r="192" ht="15.75" customHeight="1">
      <c r="A192" s="45" t="s">
        <v>654</v>
      </c>
    </row>
    <row r="193" ht="15.75" customHeight="1"/>
    <row r="194" ht="15.75" customHeight="1">
      <c r="A194" t="s">
        <v>338</v>
      </c>
    </row>
    <row r="195" ht="15.75" customHeight="1">
      <c r="A195">
        <v>1.0</v>
      </c>
      <c r="B195" t="s">
        <v>630</v>
      </c>
    </row>
    <row r="196" ht="15.75" customHeight="1">
      <c r="A196">
        <v>2.0</v>
      </c>
      <c r="B196" t="s">
        <v>631</v>
      </c>
      <c r="C196" s="208"/>
      <c r="D196" s="208"/>
      <c r="E196" s="208"/>
    </row>
    <row r="197" ht="15.75" customHeight="1">
      <c r="A197">
        <v>3.0</v>
      </c>
      <c r="B197" s="110" t="s">
        <v>632</v>
      </c>
    </row>
  </sheetData>
  <mergeCells count="4">
    <mergeCell ref="A3:H3"/>
    <mergeCell ref="A147:J147"/>
    <mergeCell ref="A192:J192"/>
    <mergeCell ref="A4:H4"/>
  </mergeCells>
  <printOptions/>
  <pageMargins bottom="0.75" footer="0.0" header="0.0" left="0.7" right="0.7" top="0.75"/>
  <pageSetup paperSize="9" orientation="portrait"/>
  <rowBreaks count="1" manualBreakCount="1">
    <brk id="94" man="1"/>
  </rowBreaks>
  <colBreaks count="1" manualBreakCount="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5.43"/>
    <col customWidth="1" min="4" max="4" width="16.0"/>
    <col customWidth="1" min="5" max="5" width="17.71"/>
    <col customWidth="1" min="6" max="6" width="17.86"/>
    <col customWidth="1" min="7" max="13" width="8.71"/>
  </cols>
  <sheetData>
    <row r="2">
      <c r="B2" s="25" t="s">
        <v>80</v>
      </c>
    </row>
    <row r="3">
      <c r="B3" s="26" t="s">
        <v>81</v>
      </c>
    </row>
    <row r="4">
      <c r="B4" s="27" t="s">
        <v>82</v>
      </c>
    </row>
    <row r="5">
      <c r="B5" s="28" t="s">
        <v>83</v>
      </c>
      <c r="C5" s="28" t="s">
        <v>84</v>
      </c>
      <c r="D5" s="28"/>
      <c r="E5" s="29" t="s">
        <v>85</v>
      </c>
      <c r="F5" s="29" t="s">
        <v>86</v>
      </c>
    </row>
    <row r="6">
      <c r="B6" s="30">
        <v>1.0</v>
      </c>
      <c r="C6" s="31" t="str">
        <f>'2.Capex Details'!B2</f>
        <v>Land, Building, Shed and Warehouse</v>
      </c>
      <c r="D6" s="32" t="str">
        <f>'2.Capex Details'!G11</f>
        <v>  19,094,000 </v>
      </c>
      <c r="E6" s="33">
        <v>0.6</v>
      </c>
      <c r="F6" s="34" t="str">
        <f t="shared" ref="F6:F11" si="1">D6*E6</f>
        <v>  11,456,400 </v>
      </c>
    </row>
    <row r="7">
      <c r="B7" s="30">
        <v>2.0</v>
      </c>
      <c r="C7" s="31" t="str">
        <f>'2.Capex Details'!B16</f>
        <v>Machinery and Equipment</v>
      </c>
      <c r="D7" s="32" t="str">
        <f>'2.Capex Details'!G70</f>
        <v>  5,927,300 </v>
      </c>
      <c r="E7" s="33">
        <v>0.6</v>
      </c>
      <c r="F7" s="34" t="str">
        <f t="shared" si="1"/>
        <v>  3,556,380 </v>
      </c>
    </row>
    <row r="8">
      <c r="B8" s="30">
        <v>3.0</v>
      </c>
      <c r="C8" s="31" t="str">
        <f>'2.Capex Details'!B76</f>
        <v>Furniture and Fixture</v>
      </c>
      <c r="D8" s="32" t="str">
        <f>'2.Capex Details'!F84</f>
        <v>  414,000 </v>
      </c>
      <c r="E8" s="33">
        <v>0.6</v>
      </c>
      <c r="F8" s="34" t="str">
        <f t="shared" si="1"/>
        <v>  248,400 </v>
      </c>
    </row>
    <row r="9">
      <c r="B9" s="30">
        <v>4.0</v>
      </c>
      <c r="C9" s="31" t="str">
        <f>'2.Capex Details'!B86</f>
        <v>IT &amp; It Infrastracture</v>
      </c>
      <c r="D9" s="32" t="str">
        <f>'2.Capex Details'!F95</f>
        <v>  633,070 </v>
      </c>
      <c r="E9" s="33">
        <v>0.6</v>
      </c>
      <c r="F9" s="34" t="str">
        <f t="shared" si="1"/>
        <v>  379,842 </v>
      </c>
    </row>
    <row r="10">
      <c r="B10" s="30">
        <v>5.0</v>
      </c>
      <c r="C10" s="31" t="str">
        <f>'2.Capex Details'!B98</f>
        <v>Transport vehical  (Refer van and other)</v>
      </c>
      <c r="D10" s="32" t="str">
        <f>'2.Capex Details'!F104</f>
        <v>  -   </v>
      </c>
      <c r="E10" s="33">
        <v>0.6</v>
      </c>
      <c r="F10" s="34" t="str">
        <f t="shared" si="1"/>
        <v>  -   </v>
      </c>
    </row>
    <row r="11">
      <c r="B11" s="30">
        <v>6.0</v>
      </c>
      <c r="C11" s="31" t="str">
        <f>'2.Capex Details'!B108</f>
        <v>Preliminary Expenses</v>
      </c>
      <c r="D11" s="32" t="str">
        <f>'2.Capex Details'!D114</f>
        <v>  62,940 </v>
      </c>
      <c r="E11" s="33">
        <v>0.6</v>
      </c>
      <c r="F11" s="34" t="str">
        <f t="shared" si="1"/>
        <v>  37,764 </v>
      </c>
      <c r="L11" t="s">
        <v>87</v>
      </c>
    </row>
    <row r="12">
      <c r="B12" s="30">
        <v>7.0</v>
      </c>
      <c r="C12" s="31" t="s">
        <v>88</v>
      </c>
      <c r="D12" s="32" t="str">
        <f>'5.Closing Stock &amp; W Capital'!E51</f>
        <v>  30,290,266 </v>
      </c>
      <c r="E12" s="35"/>
      <c r="F12" s="35"/>
    </row>
    <row r="13">
      <c r="B13" s="36" t="s">
        <v>89</v>
      </c>
      <c r="C13" s="6"/>
      <c r="D13" s="37" t="str">
        <f>SUM(D6:D12)</f>
        <v>  56,421,576 </v>
      </c>
      <c r="E13" s="35"/>
      <c r="F13" s="37" t="str">
        <f>SUM(F6:F12)</f>
        <v>  15,678,786 </v>
      </c>
    </row>
    <row r="14">
      <c r="D14" s="38"/>
      <c r="M14">
        <v>48.0</v>
      </c>
    </row>
    <row r="15" ht="25.5" customHeight="1">
      <c r="A15" s="39" t="s">
        <v>90</v>
      </c>
      <c r="M15">
        <v>11.64</v>
      </c>
    </row>
    <row r="16">
      <c r="M16" t="str">
        <f>M14+M15</f>
        <v>59.64</v>
      </c>
    </row>
    <row r="17">
      <c r="B17" s="26" t="s">
        <v>91</v>
      </c>
      <c r="M17">
        <v>19.05</v>
      </c>
    </row>
    <row r="18">
      <c r="M18" t="str">
        <f>M16+M17</f>
        <v>78.69</v>
      </c>
    </row>
    <row r="19">
      <c r="B19" s="40" t="s">
        <v>83</v>
      </c>
      <c r="C19" s="28" t="s">
        <v>84</v>
      </c>
      <c r="D19" s="28" t="s">
        <v>92</v>
      </c>
      <c r="E19" s="28" t="s">
        <v>93</v>
      </c>
    </row>
    <row r="20">
      <c r="B20" s="30">
        <v>1.0</v>
      </c>
      <c r="C20" s="31" t="s">
        <v>94</v>
      </c>
      <c r="D20" s="41"/>
      <c r="E20" s="42" t="str">
        <f>F13</f>
        <v>  15,678,786 </v>
      </c>
    </row>
    <row r="21" ht="15.75" customHeight="1">
      <c r="B21" s="30">
        <v>2.0</v>
      </c>
      <c r="C21" s="31" t="s">
        <v>95</v>
      </c>
      <c r="D21" s="43">
        <v>0.0</v>
      </c>
      <c r="E21" s="42" t="str">
        <f>SUM(D6:D10)*D21</f>
        <v>  -   </v>
      </c>
    </row>
    <row r="22" ht="15.75" customHeight="1">
      <c r="B22" s="30">
        <v>3.0</v>
      </c>
      <c r="C22" s="31" t="s">
        <v>96</v>
      </c>
      <c r="D22" s="42"/>
      <c r="E22" s="42" t="str">
        <f>D13-E20-E21</f>
        <v>  40,742,790 </v>
      </c>
    </row>
    <row r="23" ht="15.75" customHeight="1">
      <c r="B23" s="36" t="s">
        <v>89</v>
      </c>
      <c r="C23" s="6"/>
      <c r="D23" s="44"/>
      <c r="E23" s="44" t="str">
        <f>SUM(E20:E22)</f>
        <v>  56,421,576 </v>
      </c>
    </row>
    <row r="24" ht="15.75" customHeight="1"/>
    <row r="25" ht="15.75" customHeight="1">
      <c r="B25" s="45" t="s">
        <v>97</v>
      </c>
    </row>
    <row r="26" ht="15.75" customHeight="1"/>
    <row r="27" ht="15.75" customHeight="1">
      <c r="B27" s="26" t="s">
        <v>98</v>
      </c>
    </row>
    <row r="28" ht="15.75" customHeight="1">
      <c r="B28" s="46" t="s">
        <v>83</v>
      </c>
      <c r="C28" s="47" t="s">
        <v>99</v>
      </c>
      <c r="D28" s="48" t="s">
        <v>100</v>
      </c>
      <c r="E28" s="49" t="s">
        <v>101</v>
      </c>
      <c r="F28" s="50" t="s">
        <v>102</v>
      </c>
      <c r="G28" s="51"/>
    </row>
    <row r="29" ht="15.75" customHeight="1">
      <c r="B29" s="52">
        <v>1.0</v>
      </c>
      <c r="C29" s="31" t="s">
        <v>103</v>
      </c>
      <c r="D29" s="53" t="str">
        <f>'9. Financial indiacators'!C49</f>
        <v>41.37%</v>
      </c>
      <c r="E29" s="52" t="s">
        <v>104</v>
      </c>
      <c r="F29" s="54" t="s">
        <v>105</v>
      </c>
      <c r="G29" s="52" t="s">
        <v>106</v>
      </c>
    </row>
    <row r="30" ht="15.75" customHeight="1">
      <c r="B30" s="52">
        <v>2.0</v>
      </c>
      <c r="C30" s="31" t="s">
        <v>107</v>
      </c>
      <c r="D30" s="53" t="str">
        <f>'9. Financial indiacators'!C85</f>
        <v>24.63%</v>
      </c>
      <c r="E30" s="52" t="s">
        <v>104</v>
      </c>
      <c r="F30" s="54" t="s">
        <v>108</v>
      </c>
      <c r="G30" s="52" t="s">
        <v>109</v>
      </c>
    </row>
    <row r="31" ht="15.75" customHeight="1">
      <c r="B31" s="52">
        <v>3.0</v>
      </c>
      <c r="C31" s="31" t="s">
        <v>110</v>
      </c>
      <c r="D31" s="53" t="str">
        <f>'9. Financial indiacators'!C16</f>
        <v>13.34%</v>
      </c>
      <c r="E31" s="52" t="s">
        <v>104</v>
      </c>
      <c r="F31" s="54" t="s">
        <v>111</v>
      </c>
      <c r="G31" s="52" t="s">
        <v>112</v>
      </c>
    </row>
    <row r="32" ht="15.75" customHeight="1">
      <c r="B32" s="52">
        <v>4.0</v>
      </c>
      <c r="C32" s="31" t="s">
        <v>113</v>
      </c>
      <c r="D32" s="55" t="str">
        <f>'9. Financial indiacators'!C73</f>
        <v>8,746,124</v>
      </c>
      <c r="E32" s="52" t="s">
        <v>114</v>
      </c>
      <c r="F32" s="54" t="s">
        <v>115</v>
      </c>
      <c r="G32" s="52" t="s">
        <v>116</v>
      </c>
    </row>
    <row r="33" ht="15.75" customHeight="1">
      <c r="B33" s="52">
        <v>5.0</v>
      </c>
      <c r="C33" s="31" t="s">
        <v>117</v>
      </c>
      <c r="D33" s="56" t="str">
        <f>'9. Financial indiacators'!D101</f>
        <v>5.12</v>
      </c>
      <c r="E33" s="52" t="s">
        <v>104</v>
      </c>
      <c r="F33" s="54" t="s">
        <v>118</v>
      </c>
      <c r="G33" s="52" t="s">
        <v>119</v>
      </c>
    </row>
    <row r="34" ht="15.75" customHeight="1">
      <c r="B34" s="52">
        <v>6.0</v>
      </c>
      <c r="C34" s="57" t="s">
        <v>120</v>
      </c>
      <c r="D34" s="56" t="str">
        <f>'9. Financial indiacators'!C119</f>
        <v>#DIV/0!</v>
      </c>
      <c r="E34" s="58" t="s">
        <v>104</v>
      </c>
      <c r="F34" s="54" t="s">
        <v>121</v>
      </c>
      <c r="G34" s="57" t="s">
        <v>122</v>
      </c>
    </row>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9">
    <mergeCell ref="B3:F3"/>
    <mergeCell ref="B4:F4"/>
    <mergeCell ref="F28:G28"/>
    <mergeCell ref="B27:F27"/>
    <mergeCell ref="B13:C13"/>
    <mergeCell ref="B23:C23"/>
    <mergeCell ref="B17:F17"/>
    <mergeCell ref="B25:F25"/>
    <mergeCell ref="A15:F15"/>
  </mergeCells>
  <conditionalFormatting sqref="D24">
    <cfRule type="cellIs" dxfId="0" priority="1" operator="greaterThan">
      <formula>0</formula>
    </cfRule>
  </conditionalFormatting>
  <printOptions/>
  <pageMargins bottom="0.7480314960629921" footer="0.0" header="0.0" left="0.7086614173228347" right="0.7086614173228347" top="0.7480314960629921"/>
  <pageSetup scale="73"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41.57"/>
    <col customWidth="1" min="4" max="4" width="11.71"/>
    <col customWidth="1" min="5" max="5" width="17.0"/>
    <col customWidth="1" min="6" max="6" width="14.0"/>
    <col customWidth="1" min="7" max="7" width="12.29"/>
    <col customWidth="1" min="8" max="8" width="11.57"/>
    <col customWidth="1" min="9" max="11" width="8.71"/>
  </cols>
  <sheetData>
    <row r="2">
      <c r="A2" s="59" t="s">
        <v>123</v>
      </c>
      <c r="B2" s="26" t="s">
        <v>124</v>
      </c>
    </row>
    <row r="4">
      <c r="B4" s="60" t="s">
        <v>83</v>
      </c>
      <c r="C4" s="60" t="s">
        <v>84</v>
      </c>
      <c r="D4" s="60" t="s">
        <v>125</v>
      </c>
      <c r="E4" s="60" t="s">
        <v>126</v>
      </c>
      <c r="F4" s="60" t="s">
        <v>127</v>
      </c>
      <c r="G4" s="60" t="s">
        <v>93</v>
      </c>
    </row>
    <row r="5">
      <c r="B5" s="61">
        <v>1.0</v>
      </c>
      <c r="C5" s="61" t="s">
        <v>128</v>
      </c>
      <c r="D5" s="61" t="s">
        <v>129</v>
      </c>
      <c r="E5" s="62">
        <v>1.0</v>
      </c>
      <c r="F5" s="62">
        <v>3341500.0</v>
      </c>
      <c r="G5" s="63" t="s">
        <v>130</v>
      </c>
    </row>
    <row r="6">
      <c r="B6" s="61">
        <v>2.0</v>
      </c>
      <c r="C6" s="61" t="s">
        <v>131</v>
      </c>
      <c r="D6" s="64" t="s">
        <v>132</v>
      </c>
      <c r="E6" s="65">
        <v>1.0</v>
      </c>
      <c r="F6" s="62">
        <v>5000000.0</v>
      </c>
      <c r="G6" s="66" t="str">
        <f t="shared" ref="G6:G10" si="1">E6*F6</f>
        <v>  5,000,000 </v>
      </c>
    </row>
    <row r="7">
      <c r="B7" s="61">
        <v>3.0</v>
      </c>
      <c r="C7" s="61" t="s">
        <v>133</v>
      </c>
      <c r="D7" s="64" t="s">
        <v>134</v>
      </c>
      <c r="E7" s="65">
        <v>1.0</v>
      </c>
      <c r="F7" s="62">
        <v>1.3386E7</v>
      </c>
      <c r="G7" s="66" t="str">
        <f t="shared" si="1"/>
        <v>  13,386,000 </v>
      </c>
    </row>
    <row r="8">
      <c r="B8" s="61">
        <v>4.0</v>
      </c>
      <c r="C8" s="61" t="s">
        <v>135</v>
      </c>
      <c r="D8" s="64" t="s">
        <v>136</v>
      </c>
      <c r="E8" s="65">
        <v>1.0</v>
      </c>
      <c r="F8" s="67">
        <v>708000.0</v>
      </c>
      <c r="G8" s="66" t="str">
        <f t="shared" si="1"/>
        <v>  708,000 </v>
      </c>
    </row>
    <row r="9">
      <c r="B9" s="61"/>
      <c r="C9" s="61"/>
      <c r="D9" s="64"/>
      <c r="E9" s="65"/>
      <c r="F9" s="67"/>
      <c r="G9" s="66" t="str">
        <f t="shared" si="1"/>
        <v>  -   </v>
      </c>
    </row>
    <row r="10">
      <c r="B10" s="61"/>
      <c r="C10" s="61"/>
      <c r="D10" s="64"/>
      <c r="E10" s="65"/>
      <c r="F10" s="67"/>
      <c r="G10" s="66" t="str">
        <f t="shared" si="1"/>
        <v>  -   </v>
      </c>
    </row>
    <row r="11">
      <c r="B11" s="68" t="s">
        <v>89</v>
      </c>
      <c r="C11" s="5"/>
      <c r="D11" s="5"/>
      <c r="E11" s="5"/>
      <c r="F11" s="6"/>
      <c r="G11" s="69" t="str">
        <f>SUM(G6:G10)</f>
        <v>  19,094,000 </v>
      </c>
    </row>
    <row r="14">
      <c r="B14" s="45" t="s">
        <v>137</v>
      </c>
    </row>
    <row r="16">
      <c r="B16" s="26" t="s">
        <v>138</v>
      </c>
    </row>
    <row r="17">
      <c r="B17" s="70"/>
    </row>
    <row r="18">
      <c r="B18" s="60" t="s">
        <v>83</v>
      </c>
      <c r="C18" s="60" t="s">
        <v>10</v>
      </c>
      <c r="D18" s="60" t="s">
        <v>139</v>
      </c>
      <c r="E18" s="60" t="s">
        <v>140</v>
      </c>
      <c r="F18" s="60" t="s">
        <v>141</v>
      </c>
      <c r="G18" s="60" t="s">
        <v>93</v>
      </c>
      <c r="H18" s="60" t="s">
        <v>142</v>
      </c>
    </row>
    <row r="19" hidden="1">
      <c r="B19" s="71"/>
      <c r="C19" s="72"/>
      <c r="D19" s="72"/>
      <c r="E19" s="72"/>
      <c r="F19" s="72"/>
      <c r="G19" s="73"/>
      <c r="H19" s="72"/>
    </row>
    <row r="20" hidden="1">
      <c r="B20" s="74"/>
      <c r="C20" s="75"/>
      <c r="D20" s="75"/>
      <c r="E20" s="74"/>
      <c r="F20" s="76"/>
      <c r="G20" s="73" t="str">
        <f t="shared" ref="G20:G30" si="2">E20*F20</f>
        <v>  -   </v>
      </c>
      <c r="H20" s="77"/>
    </row>
    <row r="21" ht="15.75" hidden="1" customHeight="1">
      <c r="B21" s="74"/>
      <c r="C21" s="75"/>
      <c r="D21" s="75"/>
      <c r="E21" s="74"/>
      <c r="F21" s="76"/>
      <c r="G21" s="73" t="str">
        <f t="shared" si="2"/>
        <v>  -   </v>
      </c>
      <c r="H21" s="77"/>
    </row>
    <row r="22" ht="15.75" hidden="1" customHeight="1">
      <c r="B22" s="74"/>
      <c r="C22" s="75"/>
      <c r="D22" s="75"/>
      <c r="E22" s="74"/>
      <c r="F22" s="76"/>
      <c r="G22" s="73" t="str">
        <f t="shared" si="2"/>
        <v>  -   </v>
      </c>
      <c r="H22" s="77"/>
    </row>
    <row r="23" ht="15.75" hidden="1" customHeight="1">
      <c r="B23" s="74"/>
      <c r="C23" s="75"/>
      <c r="D23" s="75"/>
      <c r="E23" s="74"/>
      <c r="F23" s="76"/>
      <c r="G23" s="73" t="str">
        <f t="shared" si="2"/>
        <v>  -   </v>
      </c>
      <c r="H23" s="77"/>
    </row>
    <row r="24" ht="15.75" hidden="1" customHeight="1">
      <c r="B24" s="74"/>
      <c r="C24" s="75"/>
      <c r="D24" s="75"/>
      <c r="E24" s="74"/>
      <c r="F24" s="76"/>
      <c r="G24" s="73" t="str">
        <f t="shared" si="2"/>
        <v>  -   </v>
      </c>
      <c r="H24" s="77"/>
    </row>
    <row r="25" ht="15.75" hidden="1" customHeight="1">
      <c r="B25" s="74"/>
      <c r="C25" s="75"/>
      <c r="D25" s="75"/>
      <c r="E25" s="74"/>
      <c r="F25" s="76"/>
      <c r="G25" s="73" t="str">
        <f t="shared" si="2"/>
        <v>  -   </v>
      </c>
      <c r="H25" s="77"/>
    </row>
    <row r="26" ht="15.75" hidden="1" customHeight="1">
      <c r="B26" s="74"/>
      <c r="C26" s="75"/>
      <c r="D26" s="75"/>
      <c r="E26" s="74"/>
      <c r="F26" s="76"/>
      <c r="G26" s="73" t="str">
        <f t="shared" si="2"/>
        <v>  -   </v>
      </c>
      <c r="H26" s="77"/>
    </row>
    <row r="27" ht="15.75" hidden="1" customHeight="1">
      <c r="B27" s="74"/>
      <c r="C27" s="75"/>
      <c r="D27" s="75"/>
      <c r="E27" s="74"/>
      <c r="F27" s="76"/>
      <c r="G27" s="73" t="str">
        <f t="shared" si="2"/>
        <v>  -   </v>
      </c>
      <c r="H27" s="77"/>
    </row>
    <row r="28" ht="15.75" hidden="1" customHeight="1">
      <c r="B28" s="74"/>
      <c r="C28" s="75"/>
      <c r="D28" s="74"/>
      <c r="E28" s="74"/>
      <c r="F28" s="76"/>
      <c r="G28" s="73" t="str">
        <f t="shared" si="2"/>
        <v>  -   </v>
      </c>
      <c r="H28" s="77"/>
    </row>
    <row r="29" ht="15.75" hidden="1" customHeight="1">
      <c r="B29" s="74"/>
      <c r="C29" s="75"/>
      <c r="D29" s="74"/>
      <c r="E29" s="74"/>
      <c r="F29" s="76"/>
      <c r="G29" s="73" t="str">
        <f t="shared" si="2"/>
        <v>  -   </v>
      </c>
      <c r="H29" s="77"/>
    </row>
    <row r="30" ht="15.75" hidden="1" customHeight="1">
      <c r="B30" s="74"/>
      <c r="C30" s="75"/>
      <c r="D30" s="74"/>
      <c r="E30" s="74"/>
      <c r="F30" s="76"/>
      <c r="G30" s="73" t="str">
        <f t="shared" si="2"/>
        <v>  -   </v>
      </c>
      <c r="H30" s="77"/>
    </row>
    <row r="31" ht="15.0" hidden="1" customHeight="1">
      <c r="B31" s="78" t="s">
        <v>143</v>
      </c>
      <c r="C31" s="6"/>
      <c r="D31" s="74"/>
      <c r="E31" s="74"/>
      <c r="F31" s="79"/>
      <c r="G31" s="73" t="str">
        <f t="shared" ref="G31:H31" si="3">SUM(G20:G30)</f>
        <v>  -   </v>
      </c>
      <c r="H31" s="73" t="str">
        <f t="shared" si="3"/>
        <v>  -   </v>
      </c>
    </row>
    <row r="32" ht="15.75" hidden="1" customHeight="1">
      <c r="B32" s="74" t="s">
        <v>61</v>
      </c>
      <c r="C32" s="75" t="s">
        <v>144</v>
      </c>
      <c r="D32" s="71"/>
      <c r="E32" s="71"/>
      <c r="F32" s="73"/>
      <c r="G32" s="73"/>
      <c r="H32" s="72"/>
    </row>
    <row r="33" ht="15.75" hidden="1" customHeight="1">
      <c r="B33" s="71"/>
      <c r="C33" s="80"/>
      <c r="D33" s="80"/>
      <c r="E33" s="71"/>
      <c r="F33" s="73"/>
      <c r="G33" s="73" t="str">
        <f t="shared" ref="G33:G38" si="4">E33*F33</f>
        <v>  -   </v>
      </c>
      <c r="H33" s="72"/>
    </row>
    <row r="34" ht="15.75" hidden="1" customHeight="1">
      <c r="B34" s="71"/>
      <c r="C34" s="80"/>
      <c r="D34" s="71"/>
      <c r="E34" s="71"/>
      <c r="F34" s="73"/>
      <c r="G34" s="73" t="str">
        <f t="shared" si="4"/>
        <v>  -   </v>
      </c>
      <c r="H34" s="72"/>
    </row>
    <row r="35" ht="15.75" hidden="1" customHeight="1">
      <c r="B35" s="71"/>
      <c r="C35" s="80"/>
      <c r="D35" s="71"/>
      <c r="E35" s="71"/>
      <c r="F35" s="73"/>
      <c r="G35" s="73" t="str">
        <f t="shared" si="4"/>
        <v>  -   </v>
      </c>
      <c r="H35" s="72"/>
    </row>
    <row r="36" ht="15.75" hidden="1" customHeight="1">
      <c r="B36" s="71"/>
      <c r="C36" s="80"/>
      <c r="D36" s="71"/>
      <c r="E36" s="71"/>
      <c r="F36" s="73"/>
      <c r="G36" s="73" t="str">
        <f t="shared" si="4"/>
        <v>  -   </v>
      </c>
      <c r="H36" s="72"/>
    </row>
    <row r="37" ht="15.75" hidden="1" customHeight="1">
      <c r="B37" s="71"/>
      <c r="C37" s="80"/>
      <c r="D37" s="71"/>
      <c r="E37" s="71"/>
      <c r="F37" s="73"/>
      <c r="G37" s="73" t="str">
        <f t="shared" si="4"/>
        <v>  -   </v>
      </c>
      <c r="H37" s="72"/>
    </row>
    <row r="38" ht="15.75" hidden="1" customHeight="1">
      <c r="B38" s="71"/>
      <c r="C38" s="80"/>
      <c r="D38" s="71"/>
      <c r="E38" s="71"/>
      <c r="F38" s="73"/>
      <c r="G38" s="73" t="str">
        <f t="shared" si="4"/>
        <v>  -   </v>
      </c>
      <c r="H38" s="72"/>
    </row>
    <row r="39" ht="15.75" hidden="1" customHeight="1">
      <c r="B39" s="71"/>
      <c r="C39" s="80"/>
      <c r="D39" s="71"/>
      <c r="E39" s="71"/>
      <c r="F39" s="73"/>
      <c r="G39" s="73" t="str">
        <f t="shared" ref="G39:G45" si="5">F39</f>
        <v/>
      </c>
      <c r="H39" s="72"/>
    </row>
    <row r="40" ht="15.75" hidden="1" customHeight="1">
      <c r="B40" s="71"/>
      <c r="C40" s="80"/>
      <c r="D40" s="71"/>
      <c r="E40" s="71"/>
      <c r="F40" s="73"/>
      <c r="G40" s="73" t="str">
        <f t="shared" si="5"/>
        <v/>
      </c>
      <c r="H40" s="72"/>
    </row>
    <row r="41" ht="15.75" hidden="1" customHeight="1">
      <c r="B41" s="71"/>
      <c r="C41" s="80"/>
      <c r="D41" s="71"/>
      <c r="E41" s="71"/>
      <c r="F41" s="73"/>
      <c r="G41" s="73" t="str">
        <f t="shared" si="5"/>
        <v/>
      </c>
      <c r="H41" s="72"/>
    </row>
    <row r="42" ht="15.75" hidden="1" customHeight="1">
      <c r="B42" s="71"/>
      <c r="C42" s="80"/>
      <c r="D42" s="71"/>
      <c r="E42" s="71"/>
      <c r="F42" s="73"/>
      <c r="G42" s="73" t="str">
        <f t="shared" si="5"/>
        <v/>
      </c>
      <c r="H42" s="72"/>
    </row>
    <row r="43" ht="15.75" hidden="1" customHeight="1">
      <c r="B43" s="71"/>
      <c r="C43" s="80"/>
      <c r="D43" s="71"/>
      <c r="E43" s="71"/>
      <c r="F43" s="73"/>
      <c r="G43" s="73" t="str">
        <f t="shared" si="5"/>
        <v/>
      </c>
      <c r="H43" s="72"/>
    </row>
    <row r="44" ht="15.75" hidden="1" customHeight="1">
      <c r="B44" s="71"/>
      <c r="C44" s="80"/>
      <c r="D44" s="71"/>
      <c r="E44" s="71"/>
      <c r="F44" s="73"/>
      <c r="G44" s="73" t="str">
        <f t="shared" si="5"/>
        <v/>
      </c>
      <c r="H44" s="72"/>
    </row>
    <row r="45" ht="15.75" hidden="1" customHeight="1">
      <c r="B45" s="71"/>
      <c r="C45" s="80"/>
      <c r="D45" s="71"/>
      <c r="E45" s="71"/>
      <c r="F45" s="73"/>
      <c r="G45" s="73" t="str">
        <f t="shared" si="5"/>
        <v/>
      </c>
      <c r="H45" s="72"/>
    </row>
    <row r="46" ht="15.0" hidden="1" customHeight="1">
      <c r="B46" s="78" t="s">
        <v>143</v>
      </c>
      <c r="C46" s="6"/>
      <c r="D46" s="74"/>
      <c r="E46" s="74"/>
      <c r="F46" s="79"/>
      <c r="G46" s="79" t="str">
        <f t="shared" ref="G46:H46" si="6">SUM(G33:G45)</f>
        <v>  -   </v>
      </c>
      <c r="H46" s="79" t="str">
        <f t="shared" si="6"/>
        <v>  -   </v>
      </c>
    </row>
    <row r="47" ht="15.75" hidden="1" customHeight="1">
      <c r="B47" s="71"/>
      <c r="C47" s="80"/>
      <c r="D47" s="71"/>
      <c r="E47" s="71"/>
      <c r="F47" s="73"/>
      <c r="G47" s="73"/>
      <c r="H47" s="72"/>
    </row>
    <row r="48" ht="15.75" customHeight="1">
      <c r="B48" s="81" t="s">
        <v>19</v>
      </c>
      <c r="C48" s="82" t="s">
        <v>145</v>
      </c>
      <c r="D48" s="83"/>
      <c r="E48" s="83"/>
      <c r="F48" s="84"/>
      <c r="G48" s="84" t="str">
        <f t="shared" ref="G48:G55" si="7">E48*F48</f>
        <v>  -   </v>
      </c>
      <c r="H48" s="85"/>
    </row>
    <row r="49" ht="15.75" customHeight="1">
      <c r="B49" s="81"/>
      <c r="C49" s="82" t="s">
        <v>146</v>
      </c>
      <c r="D49" s="86" t="s">
        <v>147</v>
      </c>
      <c r="E49" s="83">
        <v>1.0</v>
      </c>
      <c r="F49" s="84">
        <v>575000.0</v>
      </c>
      <c r="G49" s="84" t="str">
        <f t="shared" si="7"/>
        <v>  575,000 </v>
      </c>
      <c r="H49" s="85"/>
    </row>
    <row r="50" ht="15.75" customHeight="1">
      <c r="B50" s="81"/>
      <c r="C50" s="82" t="s">
        <v>148</v>
      </c>
      <c r="D50" s="86" t="s">
        <v>147</v>
      </c>
      <c r="E50" s="83">
        <v>1.0</v>
      </c>
      <c r="F50" s="84">
        <v>525000.0</v>
      </c>
      <c r="G50" s="84" t="str">
        <f t="shared" si="7"/>
        <v>  525,000 </v>
      </c>
      <c r="H50" s="85"/>
    </row>
    <row r="51" ht="15.75" customHeight="1">
      <c r="B51" s="81"/>
      <c r="C51" s="82" t="s">
        <v>149</v>
      </c>
      <c r="D51" s="86" t="s">
        <v>147</v>
      </c>
      <c r="E51" s="83">
        <v>1.0</v>
      </c>
      <c r="F51" s="84">
        <v>450000.0</v>
      </c>
      <c r="G51" s="84" t="str">
        <f t="shared" si="7"/>
        <v>  450,000 </v>
      </c>
      <c r="H51" s="85"/>
    </row>
    <row r="52" ht="15.75" customHeight="1">
      <c r="B52" s="81"/>
      <c r="C52" s="82" t="s">
        <v>150</v>
      </c>
      <c r="D52" s="86" t="s">
        <v>147</v>
      </c>
      <c r="E52" s="83">
        <v>1.0</v>
      </c>
      <c r="F52" s="84">
        <v>380000.0</v>
      </c>
      <c r="G52" s="84" t="str">
        <f t="shared" si="7"/>
        <v>  380,000 </v>
      </c>
      <c r="H52" s="85">
        <v>5.0</v>
      </c>
    </row>
    <row r="53" ht="15.75" customHeight="1">
      <c r="B53" s="81"/>
      <c r="C53" s="82" t="s">
        <v>151</v>
      </c>
      <c r="D53" s="86" t="s">
        <v>147</v>
      </c>
      <c r="E53" s="83">
        <v>1.0</v>
      </c>
      <c r="F53" s="84">
        <v>450000.0</v>
      </c>
      <c r="G53" s="84" t="str">
        <f t="shared" si="7"/>
        <v>  450,000 </v>
      </c>
      <c r="H53" s="85"/>
    </row>
    <row r="54" ht="15.75" customHeight="1">
      <c r="B54" s="81"/>
      <c r="C54" s="82" t="s">
        <v>152</v>
      </c>
      <c r="D54" s="86" t="s">
        <v>147</v>
      </c>
      <c r="E54" s="83">
        <v>1.0</v>
      </c>
      <c r="F54" s="84">
        <v>950000.0</v>
      </c>
      <c r="G54" s="84" t="str">
        <f t="shared" si="7"/>
        <v>  950,000 </v>
      </c>
      <c r="H54" s="85">
        <v>12.5</v>
      </c>
    </row>
    <row r="55" ht="15.75" customHeight="1">
      <c r="B55" s="81"/>
      <c r="C55" s="82" t="s">
        <v>153</v>
      </c>
      <c r="D55" s="86" t="s">
        <v>147</v>
      </c>
      <c r="E55" s="83">
        <v>1.0</v>
      </c>
      <c r="F55" s="84">
        <v>250000.0</v>
      </c>
      <c r="G55" s="84" t="str">
        <f t="shared" si="7"/>
        <v>  250,000 </v>
      </c>
      <c r="H55" s="85"/>
    </row>
    <row r="56" ht="15.75" customHeight="1">
      <c r="B56" s="81"/>
      <c r="C56" s="87" t="s">
        <v>154</v>
      </c>
      <c r="D56" s="86" t="s">
        <v>147</v>
      </c>
      <c r="E56" s="83">
        <v>1.0</v>
      </c>
      <c r="F56" s="84">
        <v>120000.0</v>
      </c>
      <c r="G56" s="84" t="str">
        <f t="shared" ref="G56:G60" si="8">+F56*E56</f>
        <v>  120,000 </v>
      </c>
      <c r="H56" s="85">
        <v>75.0</v>
      </c>
    </row>
    <row r="57" ht="15.75" customHeight="1">
      <c r="B57" s="81"/>
      <c r="C57" s="82" t="s">
        <v>155</v>
      </c>
      <c r="D57" s="86" t="s">
        <v>147</v>
      </c>
      <c r="E57" s="83">
        <v>5.0</v>
      </c>
      <c r="F57" s="84">
        <v>145000.0</v>
      </c>
      <c r="G57" s="84" t="str">
        <f t="shared" si="8"/>
        <v>  725,000 </v>
      </c>
      <c r="H57" s="85"/>
    </row>
    <row r="58" ht="15.75" customHeight="1">
      <c r="B58" s="81"/>
      <c r="C58" s="82" t="s">
        <v>156</v>
      </c>
      <c r="D58" s="86" t="s">
        <v>147</v>
      </c>
      <c r="E58" s="83">
        <v>8.0</v>
      </c>
      <c r="F58" s="84">
        <v>45000.0</v>
      </c>
      <c r="G58" s="84" t="str">
        <f t="shared" si="8"/>
        <v>  360,000 </v>
      </c>
      <c r="H58" s="85"/>
    </row>
    <row r="59" ht="15.75" customHeight="1">
      <c r="B59" s="81"/>
      <c r="C59" s="82" t="s">
        <v>157</v>
      </c>
      <c r="D59" s="86" t="s">
        <v>147</v>
      </c>
      <c r="E59" s="83">
        <v>1.0</v>
      </c>
      <c r="F59" s="84">
        <v>390000.0</v>
      </c>
      <c r="G59" s="84" t="str">
        <f t="shared" si="8"/>
        <v>  390,000 </v>
      </c>
      <c r="H59" s="85"/>
    </row>
    <row r="60" ht="15.75" customHeight="1">
      <c r="B60" s="81"/>
      <c r="C60" s="82" t="s">
        <v>158</v>
      </c>
      <c r="D60" s="86"/>
      <c r="E60" s="83">
        <v>1.0</v>
      </c>
      <c r="F60" s="84">
        <v>150000.0</v>
      </c>
      <c r="G60" s="84" t="str">
        <f t="shared" si="8"/>
        <v>  150,000 </v>
      </c>
      <c r="H60" s="85">
        <v>30.0</v>
      </c>
    </row>
    <row r="61" ht="15.75" customHeight="1">
      <c r="B61" s="81"/>
      <c r="C61" s="82" t="s">
        <v>159</v>
      </c>
      <c r="D61" s="86"/>
      <c r="E61" s="83"/>
      <c r="F61" s="84"/>
      <c r="G61" s="84">
        <v>602300.0</v>
      </c>
      <c r="H61" s="85"/>
    </row>
    <row r="62" ht="15.75" customHeight="1">
      <c r="B62" s="88"/>
      <c r="C62" s="6"/>
      <c r="D62" s="86"/>
      <c r="E62" s="83"/>
      <c r="F62" s="84"/>
      <c r="G62" s="84"/>
      <c r="H62" s="84"/>
    </row>
    <row r="63" ht="15.75" hidden="1" customHeight="1">
      <c r="B63" s="74"/>
      <c r="C63" s="74"/>
      <c r="D63" s="80"/>
      <c r="E63" s="71"/>
      <c r="F63" s="73"/>
      <c r="G63" s="73"/>
      <c r="H63" s="73"/>
    </row>
    <row r="64" ht="15.75" hidden="1" customHeight="1">
      <c r="B64" s="74"/>
      <c r="C64" s="74"/>
      <c r="D64" s="80"/>
      <c r="E64" s="71"/>
      <c r="F64" s="73"/>
      <c r="G64" s="73"/>
      <c r="H64" s="73"/>
    </row>
    <row r="65" ht="15.75" hidden="1" customHeight="1">
      <c r="B65" s="74"/>
      <c r="C65" s="74"/>
      <c r="D65" s="80"/>
      <c r="E65" s="71"/>
      <c r="F65" s="73"/>
      <c r="G65" s="73"/>
      <c r="H65" s="73"/>
    </row>
    <row r="66" ht="15.75" hidden="1" customHeight="1">
      <c r="B66" s="74"/>
      <c r="C66" s="74"/>
      <c r="D66" s="80"/>
      <c r="E66" s="71"/>
      <c r="F66" s="73"/>
      <c r="G66" s="73"/>
      <c r="H66" s="73"/>
    </row>
    <row r="67" ht="15.75" hidden="1" customHeight="1">
      <c r="B67" s="74"/>
      <c r="C67" s="75"/>
      <c r="D67" s="80"/>
      <c r="E67" s="71"/>
      <c r="F67" s="73"/>
      <c r="G67" s="73"/>
      <c r="H67" s="72"/>
    </row>
    <row r="68" ht="15.75" hidden="1" customHeight="1">
      <c r="B68" s="78"/>
      <c r="C68" s="6"/>
      <c r="D68" s="80"/>
      <c r="E68" s="71"/>
      <c r="F68" s="73"/>
      <c r="G68" s="73"/>
      <c r="H68" s="73"/>
    </row>
    <row r="69" ht="15.75" hidden="1" customHeight="1">
      <c r="B69" s="71"/>
      <c r="C69" s="80"/>
      <c r="D69" s="80"/>
      <c r="E69" s="71"/>
      <c r="F69" s="73"/>
      <c r="G69" s="73"/>
      <c r="H69" s="72"/>
    </row>
    <row r="70" ht="15.75" customHeight="1">
      <c r="B70" s="88" t="s">
        <v>160</v>
      </c>
      <c r="C70" s="5"/>
      <c r="D70" s="5"/>
      <c r="E70" s="5"/>
      <c r="F70" s="6"/>
      <c r="G70" s="89" t="str">
        <f>+SUM(G49:G62)</f>
        <v>  5,927,300 </v>
      </c>
      <c r="H70" s="89"/>
    </row>
    <row r="71" ht="15.75" customHeight="1">
      <c r="B71" s="70"/>
      <c r="G71" s="90"/>
    </row>
    <row r="72" ht="15.75" customHeight="1">
      <c r="B72" s="45" t="s">
        <v>161</v>
      </c>
    </row>
    <row r="73" ht="15.75" hidden="1" customHeight="1">
      <c r="B73" s="70"/>
      <c r="G73" s="90"/>
      <c r="I73" s="70"/>
      <c r="J73" s="70"/>
      <c r="K73" s="90"/>
    </row>
    <row r="74" ht="15.75" hidden="1" customHeight="1"/>
    <row r="75" ht="15.75" hidden="1" customHeight="1"/>
    <row r="76" ht="15.75" customHeight="1">
      <c r="B76" s="26" t="s">
        <v>162</v>
      </c>
    </row>
    <row r="77" ht="15.75" customHeight="1">
      <c r="B77" s="91" t="s">
        <v>83</v>
      </c>
      <c r="C77" s="92" t="s">
        <v>84</v>
      </c>
      <c r="D77" s="92" t="s">
        <v>140</v>
      </c>
      <c r="E77" s="92" t="s">
        <v>141</v>
      </c>
      <c r="F77" s="92" t="s">
        <v>93</v>
      </c>
    </row>
    <row r="78" ht="15.75" customHeight="1">
      <c r="B78" s="58">
        <v>1.0</v>
      </c>
      <c r="C78" s="57" t="s">
        <v>163</v>
      </c>
      <c r="D78" s="58">
        <v>1.0</v>
      </c>
      <c r="E78" s="93">
        <v>414000.0</v>
      </c>
      <c r="F78" s="94" t="str">
        <f t="shared" ref="F78:F83" si="9">D78*E78</f>
        <v>  414,000 </v>
      </c>
    </row>
    <row r="79" ht="15.75" hidden="1" customHeight="1">
      <c r="B79" s="58"/>
      <c r="C79" s="57"/>
      <c r="D79" s="58"/>
      <c r="E79" s="93"/>
      <c r="F79" s="94" t="str">
        <f t="shared" si="9"/>
        <v>  -   </v>
      </c>
    </row>
    <row r="80" ht="15.75" hidden="1" customHeight="1">
      <c r="B80" s="58"/>
      <c r="C80" s="57"/>
      <c r="D80" s="58"/>
      <c r="E80" s="93"/>
      <c r="F80" s="94" t="str">
        <f t="shared" si="9"/>
        <v>  -   </v>
      </c>
    </row>
    <row r="81" ht="15.75" hidden="1" customHeight="1">
      <c r="B81" s="58"/>
      <c r="C81" s="57"/>
      <c r="D81" s="58"/>
      <c r="E81" s="93"/>
      <c r="F81" s="94" t="str">
        <f t="shared" si="9"/>
        <v>  -   </v>
      </c>
    </row>
    <row r="82" ht="15.75" hidden="1" customHeight="1">
      <c r="B82" s="58"/>
      <c r="C82" s="57"/>
      <c r="D82" s="58"/>
      <c r="E82" s="93"/>
      <c r="F82" s="94" t="str">
        <f t="shared" si="9"/>
        <v>  -   </v>
      </c>
    </row>
    <row r="83" ht="15.75" customHeight="1">
      <c r="B83" s="58"/>
      <c r="C83" s="57"/>
      <c r="D83" s="58"/>
      <c r="E83" s="93"/>
      <c r="F83" s="94" t="str">
        <f t="shared" si="9"/>
        <v>  -   </v>
      </c>
    </row>
    <row r="84" ht="15.75" customHeight="1">
      <c r="B84" s="95" t="s">
        <v>89</v>
      </c>
      <c r="C84" s="5"/>
      <c r="D84" s="5"/>
      <c r="E84" s="6"/>
      <c r="F84" s="96" t="str">
        <f>SUM(F78:F83)</f>
        <v>  414,000 </v>
      </c>
    </row>
    <row r="85" ht="15.75" customHeight="1">
      <c r="A85" s="45" t="s">
        <v>164</v>
      </c>
    </row>
    <row r="86" ht="15.75" customHeight="1">
      <c r="B86" s="26" t="s">
        <v>165</v>
      </c>
    </row>
    <row r="87" ht="15.75" customHeight="1"/>
    <row r="88" ht="15.75" customHeight="1">
      <c r="B88" s="91" t="s">
        <v>83</v>
      </c>
      <c r="C88" s="92" t="s">
        <v>84</v>
      </c>
      <c r="D88" s="92" t="s">
        <v>140</v>
      </c>
      <c r="E88" s="92" t="s">
        <v>141</v>
      </c>
      <c r="F88" s="92" t="s">
        <v>93</v>
      </c>
    </row>
    <row r="89" ht="15.75" customHeight="1">
      <c r="B89" s="58">
        <v>1.0</v>
      </c>
      <c r="C89" s="57" t="s">
        <v>166</v>
      </c>
      <c r="D89" s="58">
        <v>1.0</v>
      </c>
      <c r="E89" s="93">
        <v>633070.0</v>
      </c>
      <c r="F89" s="94" t="str">
        <f t="shared" ref="F89:F94" si="10">D89*E89</f>
        <v>  633,070 </v>
      </c>
    </row>
    <row r="90" ht="15.75" customHeight="1">
      <c r="B90" s="58"/>
      <c r="C90" s="57"/>
      <c r="D90" s="58"/>
      <c r="E90" s="93"/>
      <c r="F90" s="94" t="str">
        <f t="shared" si="10"/>
        <v>  -   </v>
      </c>
    </row>
    <row r="91" ht="15.75" customHeight="1">
      <c r="B91" s="58"/>
      <c r="C91" s="57"/>
      <c r="D91" s="58"/>
      <c r="E91" s="93"/>
      <c r="F91" s="94" t="str">
        <f t="shared" si="10"/>
        <v>  -   </v>
      </c>
    </row>
    <row r="92" ht="15.75" customHeight="1">
      <c r="B92" s="58"/>
      <c r="C92" s="57"/>
      <c r="D92" s="58"/>
      <c r="E92" s="93"/>
      <c r="F92" s="94" t="str">
        <f t="shared" si="10"/>
        <v>  -   </v>
      </c>
    </row>
    <row r="93" ht="15.75" customHeight="1">
      <c r="B93" s="58"/>
      <c r="C93" s="57"/>
      <c r="D93" s="58"/>
      <c r="E93" s="93"/>
      <c r="F93" s="94" t="str">
        <f t="shared" si="10"/>
        <v>  -   </v>
      </c>
    </row>
    <row r="94" ht="15.75" customHeight="1">
      <c r="B94" s="58"/>
      <c r="C94" s="57"/>
      <c r="D94" s="58"/>
      <c r="E94" s="93"/>
      <c r="F94" s="94" t="str">
        <f t="shared" si="10"/>
        <v>  -   </v>
      </c>
    </row>
    <row r="95" ht="15.75" customHeight="1">
      <c r="B95" s="95" t="s">
        <v>89</v>
      </c>
      <c r="C95" s="5"/>
      <c r="D95" s="5"/>
      <c r="E95" s="6"/>
      <c r="F95" s="96" t="str">
        <f>SUM(F89:F94)</f>
        <v>  633,070 </v>
      </c>
    </row>
    <row r="96" ht="15.75" customHeight="1"/>
    <row r="97" ht="15.75" customHeight="1">
      <c r="A97" s="45" t="s">
        <v>164</v>
      </c>
    </row>
    <row r="98" ht="15.75" customHeight="1">
      <c r="B98" s="26" t="s">
        <v>167</v>
      </c>
    </row>
    <row r="99" ht="15.75" customHeight="1"/>
    <row r="100" ht="15.75" customHeight="1">
      <c r="B100" s="97" t="s">
        <v>83</v>
      </c>
      <c r="C100" s="60" t="s">
        <v>84</v>
      </c>
      <c r="D100" s="60" t="s">
        <v>140</v>
      </c>
      <c r="E100" s="60" t="s">
        <v>141</v>
      </c>
      <c r="F100" s="60" t="s">
        <v>93</v>
      </c>
    </row>
    <row r="101" ht="15.75" customHeight="1">
      <c r="B101" s="83">
        <v>1.0</v>
      </c>
      <c r="C101" s="86"/>
      <c r="D101" s="83"/>
      <c r="E101" s="98"/>
      <c r="F101" s="84" t="str">
        <f t="shared" ref="F101:F103" si="11">E101*D101</f>
        <v>  -   </v>
      </c>
    </row>
    <row r="102" ht="15.75" customHeight="1">
      <c r="B102" s="83"/>
      <c r="C102" s="86"/>
      <c r="D102" s="83"/>
      <c r="E102" s="98"/>
      <c r="F102" s="84" t="str">
        <f t="shared" si="11"/>
        <v>  -   </v>
      </c>
    </row>
    <row r="103" ht="15.75" customHeight="1">
      <c r="B103" s="83"/>
      <c r="C103" s="86"/>
      <c r="D103" s="83"/>
      <c r="E103" s="98"/>
      <c r="F103" s="84" t="str">
        <f t="shared" si="11"/>
        <v>  -   </v>
      </c>
    </row>
    <row r="104" ht="15.75" customHeight="1">
      <c r="B104" s="88" t="s">
        <v>89</v>
      </c>
      <c r="C104" s="5"/>
      <c r="D104" s="5"/>
      <c r="E104" s="6"/>
      <c r="F104" s="89" t="str">
        <f>SUM(F101:F103)</f>
        <v>  -   </v>
      </c>
    </row>
    <row r="105" ht="15.75" customHeight="1">
      <c r="A105" s="99" t="s">
        <v>168</v>
      </c>
      <c r="B105" s="100"/>
      <c r="C105" s="100"/>
      <c r="D105" s="100"/>
      <c r="E105" s="100"/>
      <c r="F105" s="100"/>
      <c r="G105" s="101"/>
    </row>
    <row r="106" ht="15.75" customHeight="1"/>
    <row r="107" ht="15.75" customHeight="1"/>
    <row r="108" ht="15.75" customHeight="1">
      <c r="B108" s="26" t="s">
        <v>169</v>
      </c>
    </row>
    <row r="109" ht="15.75" customHeight="1"/>
    <row r="110" ht="15.75" customHeight="1">
      <c r="B110" s="102" t="s">
        <v>83</v>
      </c>
      <c r="C110" s="103" t="s">
        <v>84</v>
      </c>
      <c r="D110" s="103" t="s">
        <v>170</v>
      </c>
    </row>
    <row r="111" ht="15.75" customHeight="1">
      <c r="B111" s="104">
        <v>1.0</v>
      </c>
      <c r="C111" s="105" t="s">
        <v>171</v>
      </c>
      <c r="D111" s="105" t="str">
        <f>30920+30000+1100+920</f>
        <v>62940</v>
      </c>
    </row>
    <row r="112" ht="15.75" customHeight="1">
      <c r="B112" s="104"/>
      <c r="C112" s="105"/>
      <c r="D112" s="105"/>
    </row>
    <row r="113" ht="15.75" customHeight="1">
      <c r="B113" s="104"/>
      <c r="C113" s="105"/>
      <c r="D113" s="105"/>
    </row>
    <row r="114" ht="15.75" customHeight="1">
      <c r="B114" s="106" t="s">
        <v>89</v>
      </c>
      <c r="C114" s="107"/>
      <c r="D114" s="108" t="str">
        <f>SUM(D111:D113)</f>
        <v>  62,940 </v>
      </c>
    </row>
    <row r="115" ht="15.75" customHeight="1"/>
    <row r="116" ht="25.5" customHeight="1">
      <c r="A116" s="109" t="s">
        <v>172</v>
      </c>
    </row>
  </sheetData>
  <mergeCells count="22">
    <mergeCell ref="B11:F11"/>
    <mergeCell ref="B2:G2"/>
    <mergeCell ref="B14:G14"/>
    <mergeCell ref="B72:H72"/>
    <mergeCell ref="B70:F70"/>
    <mergeCell ref="B16:H16"/>
    <mergeCell ref="B31:C31"/>
    <mergeCell ref="B104:E104"/>
    <mergeCell ref="A105:G105"/>
    <mergeCell ref="B68:C68"/>
    <mergeCell ref="B84:E84"/>
    <mergeCell ref="B76:F76"/>
    <mergeCell ref="A85:G85"/>
    <mergeCell ref="B95:E95"/>
    <mergeCell ref="B86:F86"/>
    <mergeCell ref="B46:C46"/>
    <mergeCell ref="B62:C62"/>
    <mergeCell ref="B114:C114"/>
    <mergeCell ref="A116:E116"/>
    <mergeCell ref="A97:G97"/>
    <mergeCell ref="B98:F98"/>
    <mergeCell ref="B108:D108"/>
  </mergeCells>
  <hyperlinks>
    <hyperlink r:id="rId1" ref="C56"/>
  </hyperlinks>
  <printOptions/>
  <pageMargins bottom="0.7480314960629921" footer="0.0" header="0.0" left="0.7086614173228347" right="0.7086614173228347" top="0.7480314960629921"/>
  <pageSetup scale="75"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29"/>
    <col customWidth="1" min="2" max="2" width="17.29"/>
    <col customWidth="1" min="3" max="3" width="13.29"/>
    <col customWidth="1" min="4" max="4" width="13.43"/>
    <col customWidth="1" min="5" max="5" width="14.86"/>
    <col customWidth="1" min="6" max="7" width="14.71"/>
    <col customWidth="1" min="8" max="9" width="14.86"/>
    <col customWidth="1" min="10" max="10" width="14.71"/>
    <col customWidth="1" min="11" max="11" width="14.86"/>
    <col customWidth="1" min="12" max="12" width="12.14"/>
    <col customWidth="1" min="13" max="13" width="12.0"/>
    <col customWidth="1" min="14" max="14" width="13.57"/>
    <col customWidth="1" min="15" max="15" width="13.14"/>
    <col customWidth="1" min="16" max="16" width="12.43"/>
    <col customWidth="1" min="17" max="17" width="13.14"/>
  </cols>
  <sheetData>
    <row r="2">
      <c r="A2" s="26" t="s">
        <v>173</v>
      </c>
    </row>
    <row r="4">
      <c r="A4" s="110"/>
      <c r="B4" s="110"/>
      <c r="C4" s="110"/>
      <c r="D4" s="110"/>
      <c r="E4" s="111">
        <v>1.0</v>
      </c>
      <c r="F4" s="112" t="str">
        <f t="shared" ref="F4:K4" si="1">(E4*5%)+E4</f>
        <v>105.00%</v>
      </c>
      <c r="G4" s="112" t="str">
        <f t="shared" si="1"/>
        <v>110.25%</v>
      </c>
      <c r="H4" s="112" t="str">
        <f t="shared" si="1"/>
        <v>115.76%</v>
      </c>
      <c r="I4" s="112" t="str">
        <f t="shared" si="1"/>
        <v>121.55%</v>
      </c>
      <c r="J4" s="112" t="str">
        <f t="shared" si="1"/>
        <v>127.63%</v>
      </c>
      <c r="K4" s="112" t="str">
        <f t="shared" si="1"/>
        <v>134.01%</v>
      </c>
    </row>
    <row r="5">
      <c r="A5" s="110"/>
      <c r="B5" s="110"/>
      <c r="C5" s="110"/>
      <c r="D5" s="110"/>
      <c r="E5" s="110"/>
      <c r="F5" s="110"/>
      <c r="G5" s="110"/>
      <c r="H5" s="110"/>
      <c r="I5" s="110"/>
      <c r="J5" s="110"/>
      <c r="K5" s="110"/>
    </row>
    <row r="6">
      <c r="A6" s="113" t="s">
        <v>174</v>
      </c>
      <c r="B6" s="113" t="s">
        <v>125</v>
      </c>
      <c r="C6" s="113" t="s">
        <v>175</v>
      </c>
      <c r="D6" s="113" t="s">
        <v>176</v>
      </c>
      <c r="E6" s="114" t="s">
        <v>177</v>
      </c>
      <c r="F6" s="114" t="s">
        <v>178</v>
      </c>
      <c r="G6" s="114" t="s">
        <v>179</v>
      </c>
      <c r="H6" s="114" t="s">
        <v>180</v>
      </c>
      <c r="I6" s="114" t="s">
        <v>181</v>
      </c>
      <c r="J6" s="114" t="s">
        <v>182</v>
      </c>
      <c r="K6" s="114" t="s">
        <v>183</v>
      </c>
    </row>
    <row r="7">
      <c r="A7" s="85"/>
      <c r="B7" s="85"/>
      <c r="C7" s="85"/>
      <c r="D7" s="85"/>
      <c r="E7" s="85"/>
      <c r="F7" s="85"/>
      <c r="G7" s="85"/>
      <c r="H7" s="85"/>
      <c r="I7" s="85"/>
      <c r="J7" s="85"/>
      <c r="K7" s="85"/>
    </row>
    <row r="8">
      <c r="A8" s="85" t="s">
        <v>184</v>
      </c>
      <c r="B8" s="85" t="s">
        <v>185</v>
      </c>
      <c r="C8" s="72">
        <v>2.0</v>
      </c>
      <c r="D8" s="115">
        <v>75000.0</v>
      </c>
      <c r="E8" s="116" t="str">
        <f t="shared" ref="E8:K8" si="2">$C8*$D8*12*E$4</f>
        <v>  1,800,000 </v>
      </c>
      <c r="F8" s="116" t="str">
        <f t="shared" si="2"/>
        <v>  1,890,000 </v>
      </c>
      <c r="G8" s="116" t="str">
        <f t="shared" si="2"/>
        <v>  1,984,500 </v>
      </c>
      <c r="H8" s="116" t="str">
        <f t="shared" si="2"/>
        <v>  2,083,725 </v>
      </c>
      <c r="I8" s="116" t="str">
        <f t="shared" si="2"/>
        <v>  2,187,911 </v>
      </c>
      <c r="J8" s="116" t="str">
        <f t="shared" si="2"/>
        <v>  2,297,307 </v>
      </c>
      <c r="K8" s="116" t="str">
        <f t="shared" si="2"/>
        <v>  2,412,172 </v>
      </c>
    </row>
    <row r="9">
      <c r="A9" s="85" t="s">
        <v>186</v>
      </c>
      <c r="B9" s="85" t="s">
        <v>185</v>
      </c>
      <c r="C9" s="72">
        <v>2.0</v>
      </c>
      <c r="D9" s="115">
        <v>75000.0</v>
      </c>
      <c r="E9" s="116" t="str">
        <f t="shared" ref="E9:K9" si="3">$C9*$D9*12*E$4</f>
        <v>  1,800,000 </v>
      </c>
      <c r="F9" s="116" t="str">
        <f t="shared" si="3"/>
        <v>  1,890,000 </v>
      </c>
      <c r="G9" s="116" t="str">
        <f t="shared" si="3"/>
        <v>  1,984,500 </v>
      </c>
      <c r="H9" s="116" t="str">
        <f t="shared" si="3"/>
        <v>  2,083,725 </v>
      </c>
      <c r="I9" s="116" t="str">
        <f t="shared" si="3"/>
        <v>  2,187,911 </v>
      </c>
      <c r="J9" s="116" t="str">
        <f t="shared" si="3"/>
        <v>  2,297,307 </v>
      </c>
      <c r="K9" s="116" t="str">
        <f t="shared" si="3"/>
        <v>  2,412,172 </v>
      </c>
    </row>
    <row r="10">
      <c r="A10" s="85" t="s">
        <v>187</v>
      </c>
      <c r="B10" s="85" t="s">
        <v>185</v>
      </c>
      <c r="C10" s="72">
        <v>1.0</v>
      </c>
      <c r="D10" s="115">
        <v>75000.0</v>
      </c>
      <c r="E10" s="116" t="str">
        <f t="shared" ref="E10:K10" si="4">$C10*$D10*12*E$4</f>
        <v>  900,000 </v>
      </c>
      <c r="F10" s="116" t="str">
        <f t="shared" si="4"/>
        <v>  945,000 </v>
      </c>
      <c r="G10" s="116" t="str">
        <f t="shared" si="4"/>
        <v>  992,250 </v>
      </c>
      <c r="H10" s="116" t="str">
        <f t="shared" si="4"/>
        <v>  1,041,863 </v>
      </c>
      <c r="I10" s="116" t="str">
        <f t="shared" si="4"/>
        <v>  1,093,956 </v>
      </c>
      <c r="J10" s="116" t="str">
        <f t="shared" si="4"/>
        <v>  1,148,653 </v>
      </c>
      <c r="K10" s="116" t="str">
        <f t="shared" si="4"/>
        <v>  1,206,086 </v>
      </c>
    </row>
    <row r="11">
      <c r="A11" s="85" t="s">
        <v>188</v>
      </c>
      <c r="B11" s="85" t="s">
        <v>189</v>
      </c>
      <c r="C11" s="85">
        <v>12.0</v>
      </c>
      <c r="D11" s="115">
        <v>75000.0</v>
      </c>
      <c r="E11" s="116" t="str">
        <f t="shared" ref="E11:K11" si="5">$C11*$D11*E$4</f>
        <v>  900,000 </v>
      </c>
      <c r="F11" s="116" t="str">
        <f t="shared" si="5"/>
        <v>  945,000 </v>
      </c>
      <c r="G11" s="116" t="str">
        <f t="shared" si="5"/>
        <v>  992,250 </v>
      </c>
      <c r="H11" s="116" t="str">
        <f t="shared" si="5"/>
        <v>  1,041,863 </v>
      </c>
      <c r="I11" s="116" t="str">
        <f t="shared" si="5"/>
        <v>  1,093,956 </v>
      </c>
      <c r="J11" s="116" t="str">
        <f t="shared" si="5"/>
        <v>  1,148,653 </v>
      </c>
      <c r="K11" s="116" t="str">
        <f t="shared" si="5"/>
        <v>  1,206,086 </v>
      </c>
    </row>
    <row r="12">
      <c r="A12" s="85" t="s">
        <v>190</v>
      </c>
      <c r="B12" s="85" t="s">
        <v>189</v>
      </c>
      <c r="C12" s="85">
        <v>12.0</v>
      </c>
      <c r="D12" s="115">
        <v>75000.0</v>
      </c>
      <c r="E12" s="116" t="str">
        <f t="shared" ref="E12:K12" si="6">$C12*$D12*E$4</f>
        <v>  900,000 </v>
      </c>
      <c r="F12" s="116" t="str">
        <f t="shared" si="6"/>
        <v>  945,000 </v>
      </c>
      <c r="G12" s="116" t="str">
        <f t="shared" si="6"/>
        <v>  992,250 </v>
      </c>
      <c r="H12" s="116" t="str">
        <f t="shared" si="6"/>
        <v>  1,041,863 </v>
      </c>
      <c r="I12" s="116" t="str">
        <f t="shared" si="6"/>
        <v>  1,093,956 </v>
      </c>
      <c r="J12" s="116" t="str">
        <f t="shared" si="6"/>
        <v>  1,148,653 </v>
      </c>
      <c r="K12" s="116" t="str">
        <f t="shared" si="6"/>
        <v>  1,206,086 </v>
      </c>
    </row>
    <row r="13">
      <c r="A13" s="85" t="s">
        <v>191</v>
      </c>
      <c r="B13" s="85" t="s">
        <v>189</v>
      </c>
      <c r="C13" s="85">
        <v>12.0</v>
      </c>
      <c r="D13" s="115">
        <v>75000.0</v>
      </c>
      <c r="E13" s="116" t="str">
        <f t="shared" ref="E13:K13" si="7">$C13*$D13*E$4</f>
        <v>  900,000 </v>
      </c>
      <c r="F13" s="116" t="str">
        <f t="shared" si="7"/>
        <v>  945,000 </v>
      </c>
      <c r="G13" s="116" t="str">
        <f t="shared" si="7"/>
        <v>  992,250 </v>
      </c>
      <c r="H13" s="116" t="str">
        <f t="shared" si="7"/>
        <v>  1,041,863 </v>
      </c>
      <c r="I13" s="116" t="str">
        <f t="shared" si="7"/>
        <v>  1,093,956 </v>
      </c>
      <c r="J13" s="116" t="str">
        <f t="shared" si="7"/>
        <v>  1,148,653 </v>
      </c>
      <c r="K13" s="116" t="str">
        <f t="shared" si="7"/>
        <v>  1,206,086 </v>
      </c>
    </row>
    <row r="14">
      <c r="A14" s="85" t="s">
        <v>192</v>
      </c>
      <c r="B14" s="85" t="s">
        <v>189</v>
      </c>
      <c r="C14" s="85">
        <v>12.0</v>
      </c>
      <c r="D14" s="115">
        <v>75000.0</v>
      </c>
      <c r="E14" s="116" t="str">
        <f t="shared" ref="E14:K14" si="8">$C14*$D14*E$4</f>
        <v>  900,000 </v>
      </c>
      <c r="F14" s="116" t="str">
        <f t="shared" si="8"/>
        <v>  945,000 </v>
      </c>
      <c r="G14" s="116" t="str">
        <f t="shared" si="8"/>
        <v>  992,250 </v>
      </c>
      <c r="H14" s="116" t="str">
        <f t="shared" si="8"/>
        <v>  1,041,863 </v>
      </c>
      <c r="I14" s="116" t="str">
        <f t="shared" si="8"/>
        <v>  1,093,956 </v>
      </c>
      <c r="J14" s="116" t="str">
        <f t="shared" si="8"/>
        <v>  1,148,653 </v>
      </c>
      <c r="K14" s="116" t="str">
        <f t="shared" si="8"/>
        <v>  1,206,086 </v>
      </c>
    </row>
    <row r="15">
      <c r="A15" s="85" t="s">
        <v>193</v>
      </c>
      <c r="B15" s="85" t="s">
        <v>189</v>
      </c>
      <c r="C15" s="85">
        <v>12.0</v>
      </c>
      <c r="D15" s="115">
        <v>75000.0</v>
      </c>
      <c r="E15" s="116" t="str">
        <f t="shared" ref="E15:K15" si="9">$C15*$D15*E$4</f>
        <v>  900,000 </v>
      </c>
      <c r="F15" s="116" t="str">
        <f t="shared" si="9"/>
        <v>  945,000 </v>
      </c>
      <c r="G15" s="116" t="str">
        <f t="shared" si="9"/>
        <v>  992,250 </v>
      </c>
      <c r="H15" s="116" t="str">
        <f t="shared" si="9"/>
        <v>  1,041,863 </v>
      </c>
      <c r="I15" s="116" t="str">
        <f t="shared" si="9"/>
        <v>  1,093,956 </v>
      </c>
      <c r="J15" s="116" t="str">
        <f t="shared" si="9"/>
        <v>  1,148,653 </v>
      </c>
      <c r="K15" s="116" t="str">
        <f t="shared" si="9"/>
        <v>  1,206,086 </v>
      </c>
    </row>
    <row r="16">
      <c r="A16" s="85" t="s">
        <v>194</v>
      </c>
      <c r="B16" s="85" t="s">
        <v>195</v>
      </c>
      <c r="C16" s="85">
        <v>1.0</v>
      </c>
      <c r="D16" s="115">
        <v>500000.0</v>
      </c>
      <c r="E16" s="116" t="str">
        <f t="shared" ref="E16:K16" si="10">$D16*E$4*$C16</f>
        <v>  500,000 </v>
      </c>
      <c r="F16" s="116" t="str">
        <f t="shared" si="10"/>
        <v>  525,000 </v>
      </c>
      <c r="G16" s="116" t="str">
        <f t="shared" si="10"/>
        <v>  551,250 </v>
      </c>
      <c r="H16" s="116" t="str">
        <f t="shared" si="10"/>
        <v>  578,813 </v>
      </c>
      <c r="I16" s="116" t="str">
        <f t="shared" si="10"/>
        <v>  607,753 </v>
      </c>
      <c r="J16" s="116" t="str">
        <f t="shared" si="10"/>
        <v>  638,141 </v>
      </c>
      <c r="K16" s="116" t="str">
        <f t="shared" si="10"/>
        <v>  670,048 </v>
      </c>
    </row>
    <row r="17">
      <c r="A17" s="85"/>
      <c r="B17" s="85"/>
      <c r="C17" s="85"/>
      <c r="D17" s="115"/>
      <c r="E17" s="116" t="str">
        <f t="shared" ref="E17:K17" si="11">$D17*E$4*$C17</f>
        <v>  -   </v>
      </c>
      <c r="F17" s="116" t="str">
        <f t="shared" si="11"/>
        <v>  -   </v>
      </c>
      <c r="G17" s="116" t="str">
        <f t="shared" si="11"/>
        <v>  -   </v>
      </c>
      <c r="H17" s="116" t="str">
        <f t="shared" si="11"/>
        <v>  -   </v>
      </c>
      <c r="I17" s="116" t="str">
        <f t="shared" si="11"/>
        <v>  -   </v>
      </c>
      <c r="J17" s="116" t="str">
        <f t="shared" si="11"/>
        <v>  -   </v>
      </c>
      <c r="K17" s="116" t="str">
        <f t="shared" si="11"/>
        <v>  -   </v>
      </c>
    </row>
    <row r="18">
      <c r="A18" s="85"/>
      <c r="B18" s="85"/>
      <c r="C18" s="85"/>
      <c r="D18" s="115"/>
      <c r="E18" s="116" t="str">
        <f t="shared" ref="E18:K18" si="12">$D18*E$4*$C18</f>
        <v>  -   </v>
      </c>
      <c r="F18" s="116" t="str">
        <f t="shared" si="12"/>
        <v>  -   </v>
      </c>
      <c r="G18" s="116" t="str">
        <f t="shared" si="12"/>
        <v>  -   </v>
      </c>
      <c r="H18" s="116" t="str">
        <f t="shared" si="12"/>
        <v>  -   </v>
      </c>
      <c r="I18" s="116" t="str">
        <f t="shared" si="12"/>
        <v>  -   </v>
      </c>
      <c r="J18" s="116" t="str">
        <f t="shared" si="12"/>
        <v>  -   </v>
      </c>
      <c r="K18" s="116" t="str">
        <f t="shared" si="12"/>
        <v>  -   </v>
      </c>
    </row>
    <row r="19">
      <c r="A19" s="85"/>
      <c r="B19" s="85"/>
      <c r="C19" s="85"/>
      <c r="D19" s="115"/>
      <c r="E19" s="116" t="str">
        <f t="shared" ref="E19:K19" si="13">$D19*E$4*$C19</f>
        <v>  -   </v>
      </c>
      <c r="F19" s="116" t="str">
        <f t="shared" si="13"/>
        <v>  -   </v>
      </c>
      <c r="G19" s="116" t="str">
        <f t="shared" si="13"/>
        <v>  -   </v>
      </c>
      <c r="H19" s="116" t="str">
        <f t="shared" si="13"/>
        <v>  -   </v>
      </c>
      <c r="I19" s="116" t="str">
        <f t="shared" si="13"/>
        <v>  -   </v>
      </c>
      <c r="J19" s="116" t="str">
        <f t="shared" si="13"/>
        <v>  -   </v>
      </c>
      <c r="K19" s="116" t="str">
        <f t="shared" si="13"/>
        <v>  -   </v>
      </c>
    </row>
    <row r="20">
      <c r="A20" s="85"/>
      <c r="B20" s="85"/>
      <c r="C20" s="85"/>
      <c r="D20" s="115"/>
      <c r="E20" s="116" t="str">
        <f t="shared" ref="E20:K20" si="14">$D20*E$4*$C20</f>
        <v>  -   </v>
      </c>
      <c r="F20" s="116" t="str">
        <f t="shared" si="14"/>
        <v>  -   </v>
      </c>
      <c r="G20" s="116" t="str">
        <f t="shared" si="14"/>
        <v>  -   </v>
      </c>
      <c r="H20" s="116" t="str">
        <f t="shared" si="14"/>
        <v>  -   </v>
      </c>
      <c r="I20" s="116" t="str">
        <f t="shared" si="14"/>
        <v>  -   </v>
      </c>
      <c r="J20" s="116" t="str">
        <f t="shared" si="14"/>
        <v>  -   </v>
      </c>
      <c r="K20" s="116" t="str">
        <f t="shared" si="14"/>
        <v>  -   </v>
      </c>
    </row>
    <row r="21" ht="15.75" customHeight="1">
      <c r="A21" s="85"/>
      <c r="B21" s="85"/>
      <c r="C21" s="85"/>
      <c r="D21" s="115"/>
      <c r="E21" s="116" t="str">
        <f t="shared" ref="E21:K21" si="15">$D21*E$4*$C21</f>
        <v>  -   </v>
      </c>
      <c r="F21" s="116" t="str">
        <f t="shared" si="15"/>
        <v>  -   </v>
      </c>
      <c r="G21" s="116" t="str">
        <f t="shared" si="15"/>
        <v>  -   </v>
      </c>
      <c r="H21" s="116" t="str">
        <f t="shared" si="15"/>
        <v>  -   </v>
      </c>
      <c r="I21" s="116" t="str">
        <f t="shared" si="15"/>
        <v>  -   </v>
      </c>
      <c r="J21" s="116" t="str">
        <f t="shared" si="15"/>
        <v>  -   </v>
      </c>
      <c r="K21" s="116" t="str">
        <f t="shared" si="15"/>
        <v>  -   </v>
      </c>
    </row>
    <row r="22" ht="15.75" customHeight="1">
      <c r="A22" s="85"/>
      <c r="B22" s="85"/>
      <c r="C22" s="85"/>
      <c r="D22" s="116"/>
      <c r="E22" s="116" t="str">
        <f t="shared" ref="E22:K22" si="16">$D22*E$4*$C22</f>
        <v>  -   </v>
      </c>
      <c r="F22" s="116" t="str">
        <f t="shared" si="16"/>
        <v>  -   </v>
      </c>
      <c r="G22" s="116" t="str">
        <f t="shared" si="16"/>
        <v>  -   </v>
      </c>
      <c r="H22" s="116" t="str">
        <f t="shared" si="16"/>
        <v>  -   </v>
      </c>
      <c r="I22" s="116" t="str">
        <f t="shared" si="16"/>
        <v>  -   </v>
      </c>
      <c r="J22" s="116" t="str">
        <f t="shared" si="16"/>
        <v>  -   </v>
      </c>
      <c r="K22" s="116" t="str">
        <f t="shared" si="16"/>
        <v>  -   </v>
      </c>
    </row>
    <row r="23" ht="15.75" customHeight="1">
      <c r="A23" s="117" t="s">
        <v>196</v>
      </c>
      <c r="B23" s="117"/>
      <c r="C23" s="117"/>
      <c r="D23" s="118"/>
      <c r="E23" s="118" t="str">
        <f t="shared" ref="E23:K23" si="17">SUM(E8:E22)</f>
        <v>  9,500,000 </v>
      </c>
      <c r="F23" s="118" t="str">
        <f t="shared" si="17"/>
        <v>  9,975,000 </v>
      </c>
      <c r="G23" s="118" t="str">
        <f t="shared" si="17"/>
        <v>  10,473,750 </v>
      </c>
      <c r="H23" s="118" t="str">
        <f t="shared" si="17"/>
        <v>  10,997,438 </v>
      </c>
      <c r="I23" s="118" t="str">
        <f t="shared" si="17"/>
        <v>  11,547,309 </v>
      </c>
      <c r="J23" s="118" t="str">
        <f t="shared" si="17"/>
        <v>  12,124,675 </v>
      </c>
      <c r="K23" s="118" t="str">
        <f t="shared" si="17"/>
        <v>  12,730,909 </v>
      </c>
    </row>
    <row r="24" ht="15.75" customHeight="1"/>
    <row r="25" ht="15.75" customHeight="1"/>
    <row r="26" ht="15.75" customHeight="1"/>
    <row r="27" ht="15.75" customHeight="1"/>
    <row r="28" ht="15.75" customHeight="1">
      <c r="A28" s="119"/>
    </row>
    <row r="29" ht="15.75" customHeight="1">
      <c r="A29" s="120" t="s">
        <v>197</v>
      </c>
    </row>
    <row r="30" ht="15.75" customHeight="1">
      <c r="A30" s="119"/>
      <c r="B30" s="119"/>
      <c r="C30" s="119"/>
      <c r="D30" s="119"/>
      <c r="E30" s="119"/>
      <c r="F30" s="119"/>
      <c r="G30" s="119"/>
      <c r="H30" s="119"/>
      <c r="I30" s="119"/>
      <c r="J30" s="119"/>
      <c r="K30" s="119"/>
      <c r="L30" s="119"/>
      <c r="M30" s="119"/>
      <c r="N30" s="119"/>
      <c r="O30" s="119"/>
      <c r="P30" s="121"/>
      <c r="Q30" s="121"/>
    </row>
    <row r="31" ht="15.75" customHeight="1">
      <c r="A31" s="110"/>
      <c r="B31" s="110"/>
      <c r="C31" s="122" t="s">
        <v>198</v>
      </c>
      <c r="D31" s="2"/>
      <c r="E31" s="2"/>
      <c r="F31" s="2"/>
      <c r="G31" s="2"/>
      <c r="H31" s="2"/>
      <c r="I31" s="2"/>
      <c r="J31" s="110"/>
      <c r="K31" s="123" t="s">
        <v>199</v>
      </c>
      <c r="L31" s="2"/>
      <c r="M31" s="2"/>
      <c r="N31" s="2"/>
      <c r="O31" s="2"/>
      <c r="P31" s="2"/>
      <c r="Q31" s="2"/>
    </row>
    <row r="32" ht="15.75" customHeight="1">
      <c r="A32" s="113" t="s">
        <v>174</v>
      </c>
      <c r="B32" s="124"/>
      <c r="C32" s="125" t="s">
        <v>177</v>
      </c>
      <c r="D32" s="125" t="s">
        <v>178</v>
      </c>
      <c r="E32" s="125" t="s">
        <v>179</v>
      </c>
      <c r="F32" s="125" t="s">
        <v>180</v>
      </c>
      <c r="G32" s="125" t="s">
        <v>181</v>
      </c>
      <c r="H32" s="125" t="s">
        <v>182</v>
      </c>
      <c r="I32" s="125" t="s">
        <v>183</v>
      </c>
      <c r="J32" s="126"/>
      <c r="K32" s="125" t="s">
        <v>177</v>
      </c>
      <c r="L32" s="125" t="s">
        <v>178</v>
      </c>
      <c r="M32" s="125" t="s">
        <v>179</v>
      </c>
      <c r="N32" s="125" t="s">
        <v>180</v>
      </c>
      <c r="O32" s="125" t="s">
        <v>181</v>
      </c>
      <c r="P32" s="125" t="s">
        <v>182</v>
      </c>
      <c r="Q32" s="125" t="s">
        <v>183</v>
      </c>
    </row>
    <row r="33" ht="15.75" customHeight="1">
      <c r="A33" s="127" t="s">
        <v>200</v>
      </c>
      <c r="B33" s="85"/>
      <c r="C33" s="85"/>
      <c r="D33" s="85"/>
      <c r="E33" s="85"/>
      <c r="F33" s="85"/>
      <c r="G33" s="128"/>
      <c r="H33" s="128"/>
      <c r="I33" s="128"/>
      <c r="J33" s="85"/>
      <c r="K33" s="85"/>
      <c r="L33" s="85"/>
      <c r="M33" s="85"/>
      <c r="N33" s="85"/>
      <c r="O33" s="128"/>
      <c r="P33" s="128"/>
      <c r="Q33" s="128"/>
    </row>
    <row r="34" ht="15.75" customHeight="1">
      <c r="A34" s="127"/>
      <c r="B34" s="85"/>
      <c r="C34" s="85"/>
      <c r="D34" s="85"/>
      <c r="E34" s="85"/>
      <c r="F34" s="85"/>
      <c r="G34" s="128"/>
      <c r="H34" s="128"/>
      <c r="I34" s="128"/>
      <c r="J34" s="85"/>
      <c r="K34" s="85"/>
      <c r="L34" s="85"/>
      <c r="M34" s="85"/>
      <c r="N34" s="85"/>
      <c r="O34" s="128"/>
      <c r="P34" s="128"/>
      <c r="Q34" s="128"/>
    </row>
    <row r="35" ht="15.75" customHeight="1">
      <c r="A35" s="129"/>
      <c r="B35" s="129"/>
      <c r="C35" s="85"/>
      <c r="D35" s="85"/>
      <c r="E35" s="85"/>
      <c r="F35" s="85"/>
      <c r="G35" s="85"/>
      <c r="H35" s="85"/>
      <c r="I35" s="85"/>
      <c r="J35" s="85"/>
      <c r="K35" s="85"/>
      <c r="L35" s="85"/>
      <c r="M35" s="85"/>
      <c r="N35" s="85"/>
      <c r="O35" s="85"/>
      <c r="P35" s="85"/>
      <c r="Q35" s="85"/>
    </row>
    <row r="36" ht="15.75" customHeight="1">
      <c r="A36" s="130" t="s">
        <v>201</v>
      </c>
      <c r="B36" s="130"/>
      <c r="C36" s="85"/>
      <c r="D36" s="85"/>
      <c r="E36" s="85"/>
      <c r="F36" s="85"/>
      <c r="G36" s="85"/>
      <c r="H36" s="85"/>
      <c r="I36" s="85"/>
      <c r="J36" s="85"/>
      <c r="K36" s="85"/>
      <c r="L36" s="85"/>
      <c r="M36" s="85"/>
      <c r="N36" s="85"/>
      <c r="O36" s="85"/>
      <c r="P36" s="85"/>
      <c r="Q36" s="85"/>
    </row>
    <row r="37" ht="15.75" customHeight="1">
      <c r="A37" s="129" t="s">
        <v>202</v>
      </c>
      <c r="B37" s="129"/>
      <c r="C37" s="131" t="str">
        <f>'1.Project Cost and MOF'!D6</f>
        <v>  19,094,000 </v>
      </c>
      <c r="D37" s="131" t="str">
        <f t="shared" ref="D37:I37" si="18">C40</f>
        <v>  18,488,720 </v>
      </c>
      <c r="E37" s="131" t="str">
        <f t="shared" si="18"/>
        <v>  17,883,440 </v>
      </c>
      <c r="F37" s="131" t="str">
        <f t="shared" si="18"/>
        <v>  17,278,161 </v>
      </c>
      <c r="G37" s="131" t="str">
        <f t="shared" si="18"/>
        <v>  16,672,881 </v>
      </c>
      <c r="H37" s="131" t="str">
        <f t="shared" si="18"/>
        <v>  16,067,601 </v>
      </c>
      <c r="I37" s="131" t="str">
        <f t="shared" si="18"/>
        <v>  15,462,321 </v>
      </c>
      <c r="J37" s="85"/>
      <c r="K37" s="131" t="str">
        <f>C37</f>
        <v>  19,094,000 </v>
      </c>
      <c r="L37" s="131" t="str">
        <f t="shared" ref="L37:Q37" si="19">K40</f>
        <v>  17,184,600 </v>
      </c>
      <c r="M37" s="131" t="str">
        <f t="shared" si="19"/>
        <v>  15,466,140 </v>
      </c>
      <c r="N37" s="131" t="str">
        <f t="shared" si="19"/>
        <v>  13,919,526 </v>
      </c>
      <c r="O37" s="131" t="str">
        <f t="shared" si="19"/>
        <v>  12,527,573 </v>
      </c>
      <c r="P37" s="131" t="str">
        <f t="shared" si="19"/>
        <v>  11,274,816 </v>
      </c>
      <c r="Q37" s="131" t="str">
        <f t="shared" si="19"/>
        <v>  10,147,334 </v>
      </c>
    </row>
    <row r="38" ht="15.75" customHeight="1">
      <c r="A38" s="129" t="s">
        <v>203</v>
      </c>
      <c r="B38" s="129"/>
      <c r="C38" s="131" t="str">
        <f t="shared" ref="C38:I38" si="20">$C$37*$B$74</f>
        <v>  605,280 </v>
      </c>
      <c r="D38" s="131" t="str">
        <f t="shared" si="20"/>
        <v>  605,280 </v>
      </c>
      <c r="E38" s="131" t="str">
        <f t="shared" si="20"/>
        <v>  605,280 </v>
      </c>
      <c r="F38" s="131" t="str">
        <f t="shared" si="20"/>
        <v>  605,280 </v>
      </c>
      <c r="G38" s="131" t="str">
        <f t="shared" si="20"/>
        <v>  605,280 </v>
      </c>
      <c r="H38" s="131" t="str">
        <f t="shared" si="20"/>
        <v>  605,280 </v>
      </c>
      <c r="I38" s="131" t="str">
        <f t="shared" si="20"/>
        <v>  605,280 </v>
      </c>
      <c r="J38" s="85"/>
      <c r="K38" s="131" t="str">
        <f t="shared" ref="K38:Q38" si="21">K37*$C$74</f>
        <v>  1,909,400 </v>
      </c>
      <c r="L38" s="131" t="str">
        <f t="shared" si="21"/>
        <v>  1,718,460 </v>
      </c>
      <c r="M38" s="131" t="str">
        <f t="shared" si="21"/>
        <v>  1,546,614 </v>
      </c>
      <c r="N38" s="131" t="str">
        <f t="shared" si="21"/>
        <v>  1,391,953 </v>
      </c>
      <c r="O38" s="131" t="str">
        <f t="shared" si="21"/>
        <v>  1,252,757 </v>
      </c>
      <c r="P38" s="131" t="str">
        <f t="shared" si="21"/>
        <v>  1,127,482 </v>
      </c>
      <c r="Q38" s="131" t="str">
        <f t="shared" si="21"/>
        <v>  1,014,733 </v>
      </c>
    </row>
    <row r="39" ht="15.75" customHeight="1">
      <c r="A39" s="129" t="s">
        <v>204</v>
      </c>
      <c r="B39" s="129"/>
      <c r="C39" s="131" t="str">
        <f>C38</f>
        <v>  605,280 </v>
      </c>
      <c r="D39" s="131" t="str">
        <f t="shared" ref="D39:I39" si="22">C39+D38</f>
        <v>  1,210,560 </v>
      </c>
      <c r="E39" s="131" t="str">
        <f t="shared" si="22"/>
        <v>  1,815,839 </v>
      </c>
      <c r="F39" s="131" t="str">
        <f t="shared" si="22"/>
        <v>  2,421,119 </v>
      </c>
      <c r="G39" s="131" t="str">
        <f t="shared" si="22"/>
        <v>  3,026,399 </v>
      </c>
      <c r="H39" s="131" t="str">
        <f t="shared" si="22"/>
        <v>  3,631,679 </v>
      </c>
      <c r="I39" s="131" t="str">
        <f t="shared" si="22"/>
        <v>  4,236,959 </v>
      </c>
      <c r="J39" s="85"/>
      <c r="K39" s="131" t="str">
        <f>K38</f>
        <v>  1,909,400 </v>
      </c>
      <c r="L39" s="131" t="str">
        <f t="shared" ref="L39:Q39" si="23">K39+L38</f>
        <v>  3,627,860 </v>
      </c>
      <c r="M39" s="131" t="str">
        <f t="shared" si="23"/>
        <v>  5,174,474 </v>
      </c>
      <c r="N39" s="131" t="str">
        <f t="shared" si="23"/>
        <v>  6,566,427 </v>
      </c>
      <c r="O39" s="131" t="str">
        <f t="shared" si="23"/>
        <v>  7,819,184 </v>
      </c>
      <c r="P39" s="131" t="str">
        <f t="shared" si="23"/>
        <v>  8,946,666 </v>
      </c>
      <c r="Q39" s="131" t="str">
        <f t="shared" si="23"/>
        <v>  9,961,399 </v>
      </c>
    </row>
    <row r="40" ht="15.75" customHeight="1">
      <c r="A40" s="129" t="s">
        <v>205</v>
      </c>
      <c r="B40" s="129"/>
      <c r="C40" s="131" t="str">
        <f t="shared" ref="C40:I40" si="24">C37-C38</f>
        <v>  18,488,720 </v>
      </c>
      <c r="D40" s="131" t="str">
        <f t="shared" si="24"/>
        <v>  17,883,440 </v>
      </c>
      <c r="E40" s="131" t="str">
        <f t="shared" si="24"/>
        <v>  17,278,161 </v>
      </c>
      <c r="F40" s="131" t="str">
        <f t="shared" si="24"/>
        <v>  16,672,881 </v>
      </c>
      <c r="G40" s="131" t="str">
        <f t="shared" si="24"/>
        <v>  16,067,601 </v>
      </c>
      <c r="H40" s="131" t="str">
        <f t="shared" si="24"/>
        <v>  15,462,321 </v>
      </c>
      <c r="I40" s="131" t="str">
        <f t="shared" si="24"/>
        <v>  14,857,041 </v>
      </c>
      <c r="J40" s="85"/>
      <c r="K40" s="131" t="str">
        <f t="shared" ref="K40:Q40" si="25">K37-K38</f>
        <v>  17,184,600 </v>
      </c>
      <c r="L40" s="131" t="str">
        <f t="shared" si="25"/>
        <v>  15,466,140 </v>
      </c>
      <c r="M40" s="131" t="str">
        <f t="shared" si="25"/>
        <v>  13,919,526 </v>
      </c>
      <c r="N40" s="131" t="str">
        <f t="shared" si="25"/>
        <v>  12,527,573 </v>
      </c>
      <c r="O40" s="131" t="str">
        <f t="shared" si="25"/>
        <v>  11,274,816 </v>
      </c>
      <c r="P40" s="131" t="str">
        <f t="shared" si="25"/>
        <v>  10,147,334 </v>
      </c>
      <c r="Q40" s="131" t="str">
        <f t="shared" si="25"/>
        <v>  9,132,601 </v>
      </c>
    </row>
    <row r="41" ht="15.75" customHeight="1">
      <c r="A41" s="129"/>
      <c r="B41" s="129"/>
      <c r="C41" s="131"/>
      <c r="D41" s="131"/>
      <c r="E41" s="131"/>
      <c r="F41" s="131"/>
      <c r="G41" s="131"/>
      <c r="H41" s="131"/>
      <c r="I41" s="131"/>
      <c r="J41" s="85"/>
      <c r="K41" s="131"/>
      <c r="L41" s="131"/>
      <c r="M41" s="131"/>
      <c r="N41" s="131"/>
      <c r="O41" s="131"/>
      <c r="P41" s="131"/>
      <c r="Q41" s="131"/>
    </row>
    <row r="42" ht="15.75" customHeight="1">
      <c r="A42" s="130" t="s">
        <v>206</v>
      </c>
      <c r="B42" s="130"/>
      <c r="C42" s="131"/>
      <c r="D42" s="131"/>
      <c r="E42" s="131"/>
      <c r="F42" s="131"/>
      <c r="G42" s="131"/>
      <c r="H42" s="131"/>
      <c r="I42" s="131"/>
      <c r="J42" s="85"/>
      <c r="K42" s="131"/>
      <c r="L42" s="131"/>
      <c r="M42" s="131"/>
      <c r="N42" s="131"/>
      <c r="O42" s="131"/>
      <c r="P42" s="131"/>
      <c r="Q42" s="131"/>
    </row>
    <row r="43" ht="15.75" customHeight="1">
      <c r="A43" s="129" t="s">
        <v>202</v>
      </c>
      <c r="B43" s="129"/>
      <c r="C43" s="131" t="str">
        <f>'1.Project Cost and MOF'!D7</f>
        <v>  5,927,300 </v>
      </c>
      <c r="D43" s="131" t="str">
        <f t="shared" ref="D43:I43" si="26">C46</f>
        <v>  5,552,102 </v>
      </c>
      <c r="E43" s="131" t="str">
        <f t="shared" si="26"/>
        <v>  5,176,904 </v>
      </c>
      <c r="F43" s="131" t="str">
        <f t="shared" si="26"/>
        <v>  4,801,706 </v>
      </c>
      <c r="G43" s="131" t="str">
        <f t="shared" si="26"/>
        <v>  4,426,508 </v>
      </c>
      <c r="H43" s="131" t="str">
        <f t="shared" si="26"/>
        <v>  4,051,310 </v>
      </c>
      <c r="I43" s="131" t="str">
        <f t="shared" si="26"/>
        <v>  3,676,111 </v>
      </c>
      <c r="J43" s="85"/>
      <c r="K43" s="131" t="str">
        <f>C43</f>
        <v>  5,927,300 </v>
      </c>
      <c r="L43" s="131" t="str">
        <f t="shared" ref="L43:Q43" si="27">K46</f>
        <v>  5,038,205 </v>
      </c>
      <c r="M43" s="131" t="str">
        <f t="shared" si="27"/>
        <v>  4,282,474 </v>
      </c>
      <c r="N43" s="131" t="str">
        <f t="shared" si="27"/>
        <v>  3,640,103 </v>
      </c>
      <c r="O43" s="131" t="str">
        <f t="shared" si="27"/>
        <v>  3,094,088 </v>
      </c>
      <c r="P43" s="131" t="str">
        <f t="shared" si="27"/>
        <v>  2,629,974 </v>
      </c>
      <c r="Q43" s="131" t="str">
        <f t="shared" si="27"/>
        <v>  2,235,478 </v>
      </c>
    </row>
    <row r="44" ht="15.75" customHeight="1">
      <c r="A44" s="129" t="s">
        <v>203</v>
      </c>
      <c r="B44" s="129"/>
      <c r="C44" s="131" t="str">
        <f t="shared" ref="C44:I44" si="28">$C$43*$B$78</f>
        <v>  375,198 </v>
      </c>
      <c r="D44" s="131" t="str">
        <f t="shared" si="28"/>
        <v>  375,198 </v>
      </c>
      <c r="E44" s="131" t="str">
        <f t="shared" si="28"/>
        <v>  375,198 </v>
      </c>
      <c r="F44" s="131" t="str">
        <f t="shared" si="28"/>
        <v>  375,198 </v>
      </c>
      <c r="G44" s="131" t="str">
        <f t="shared" si="28"/>
        <v>  375,198 </v>
      </c>
      <c r="H44" s="131" t="str">
        <f t="shared" si="28"/>
        <v>  375,198 </v>
      </c>
      <c r="I44" s="131" t="str">
        <f t="shared" si="28"/>
        <v>  375,198 </v>
      </c>
      <c r="J44" s="85"/>
      <c r="K44" s="131" t="str">
        <f t="shared" ref="K44:Q44" si="29">K43*$C$78</f>
        <v>  889,095 </v>
      </c>
      <c r="L44" s="131" t="str">
        <f t="shared" si="29"/>
        <v>  755,731 </v>
      </c>
      <c r="M44" s="131" t="str">
        <f t="shared" si="29"/>
        <v>  642,371 </v>
      </c>
      <c r="N44" s="131" t="str">
        <f t="shared" si="29"/>
        <v>  546,015 </v>
      </c>
      <c r="O44" s="131" t="str">
        <f t="shared" si="29"/>
        <v>  464,113 </v>
      </c>
      <c r="P44" s="131" t="str">
        <f t="shared" si="29"/>
        <v>  394,496 </v>
      </c>
      <c r="Q44" s="131" t="str">
        <f t="shared" si="29"/>
        <v>  335,322 </v>
      </c>
    </row>
    <row r="45" ht="15.75" customHeight="1">
      <c r="A45" s="129" t="s">
        <v>204</v>
      </c>
      <c r="B45" s="129"/>
      <c r="C45" s="131" t="str">
        <f>C44</f>
        <v>  375,198 </v>
      </c>
      <c r="D45" s="131" t="str">
        <f t="shared" ref="D45:I45" si="30">C45+D44</f>
        <v>  750,396 </v>
      </c>
      <c r="E45" s="131" t="str">
        <f t="shared" si="30"/>
        <v>  1,125,594 </v>
      </c>
      <c r="F45" s="131" t="str">
        <f t="shared" si="30"/>
        <v>  1,500,792 </v>
      </c>
      <c r="G45" s="131" t="str">
        <f t="shared" si="30"/>
        <v>  1,875,990 </v>
      </c>
      <c r="H45" s="131" t="str">
        <f t="shared" si="30"/>
        <v>  2,251,189 </v>
      </c>
      <c r="I45" s="131" t="str">
        <f t="shared" si="30"/>
        <v>  2,626,387 </v>
      </c>
      <c r="J45" s="85"/>
      <c r="K45" s="131" t="str">
        <f>K44</f>
        <v>  889,095 </v>
      </c>
      <c r="L45" s="131" t="str">
        <f t="shared" ref="L45:Q45" si="31">K45+L44</f>
        <v>  1,644,826 </v>
      </c>
      <c r="M45" s="131" t="str">
        <f t="shared" si="31"/>
        <v>  2,287,197 </v>
      </c>
      <c r="N45" s="131" t="str">
        <f t="shared" si="31"/>
        <v>  2,833,212 </v>
      </c>
      <c r="O45" s="131" t="str">
        <f t="shared" si="31"/>
        <v>  3,297,326 </v>
      </c>
      <c r="P45" s="131" t="str">
        <f t="shared" si="31"/>
        <v>  3,691,822 </v>
      </c>
      <c r="Q45" s="131" t="str">
        <f t="shared" si="31"/>
        <v>  4,027,143 </v>
      </c>
    </row>
    <row r="46" ht="15.75" customHeight="1">
      <c r="A46" s="129" t="s">
        <v>205</v>
      </c>
      <c r="B46" s="129"/>
      <c r="C46" s="131" t="str">
        <f t="shared" ref="C46:I46" si="32">C43-C44</f>
        <v>  5,552,102 </v>
      </c>
      <c r="D46" s="131" t="str">
        <f t="shared" si="32"/>
        <v>  5,176,904 </v>
      </c>
      <c r="E46" s="131" t="str">
        <f t="shared" si="32"/>
        <v>  4,801,706 </v>
      </c>
      <c r="F46" s="131" t="str">
        <f t="shared" si="32"/>
        <v>  4,426,508 </v>
      </c>
      <c r="G46" s="131" t="str">
        <f t="shared" si="32"/>
        <v>  4,051,310 </v>
      </c>
      <c r="H46" s="131" t="str">
        <f t="shared" si="32"/>
        <v>  3,676,111 </v>
      </c>
      <c r="I46" s="131" t="str">
        <f t="shared" si="32"/>
        <v>  3,300,913 </v>
      </c>
      <c r="J46" s="85"/>
      <c r="K46" s="131" t="str">
        <f t="shared" ref="K46:Q46" si="33">K43-K44</f>
        <v>  5,038,205 </v>
      </c>
      <c r="L46" s="131" t="str">
        <f t="shared" si="33"/>
        <v>  4,282,474 </v>
      </c>
      <c r="M46" s="131" t="str">
        <f t="shared" si="33"/>
        <v>  3,640,103 </v>
      </c>
      <c r="N46" s="131" t="str">
        <f t="shared" si="33"/>
        <v>  3,094,088 </v>
      </c>
      <c r="O46" s="131" t="str">
        <f t="shared" si="33"/>
        <v>  2,629,974 </v>
      </c>
      <c r="P46" s="131" t="str">
        <f t="shared" si="33"/>
        <v>  2,235,478 </v>
      </c>
      <c r="Q46" s="131" t="str">
        <f t="shared" si="33"/>
        <v>  1,900,157 </v>
      </c>
    </row>
    <row r="47" ht="15.75" customHeight="1">
      <c r="A47" s="129"/>
      <c r="B47" s="129"/>
      <c r="C47" s="131"/>
      <c r="D47" s="131"/>
      <c r="E47" s="131"/>
      <c r="F47" s="131"/>
      <c r="G47" s="131"/>
      <c r="H47" s="131"/>
      <c r="I47" s="131"/>
      <c r="J47" s="85"/>
      <c r="K47" s="131"/>
      <c r="L47" s="131"/>
      <c r="M47" s="131"/>
      <c r="N47" s="131"/>
      <c r="O47" s="131"/>
      <c r="P47" s="131"/>
      <c r="Q47" s="131"/>
    </row>
    <row r="48" ht="15.75" customHeight="1">
      <c r="A48" s="130" t="s">
        <v>207</v>
      </c>
      <c r="B48" s="130"/>
      <c r="C48" s="131"/>
      <c r="D48" s="131"/>
      <c r="E48" s="131"/>
      <c r="F48" s="131"/>
      <c r="G48" s="131"/>
      <c r="H48" s="131"/>
      <c r="I48" s="131"/>
      <c r="J48" s="85"/>
      <c r="K48" s="131"/>
      <c r="L48" s="131"/>
      <c r="M48" s="131"/>
      <c r="N48" s="131"/>
      <c r="O48" s="131"/>
      <c r="P48" s="131"/>
      <c r="Q48" s="131"/>
    </row>
    <row r="49" ht="15.75" customHeight="1">
      <c r="A49" s="129" t="s">
        <v>202</v>
      </c>
      <c r="B49" s="129"/>
      <c r="C49" s="131" t="str">
        <f>'1.Project Cost and MOF'!D8</f>
        <v>  414,000 </v>
      </c>
      <c r="D49" s="131" t="str">
        <f t="shared" ref="D49:I49" si="34">C52</f>
        <v>  372,600 </v>
      </c>
      <c r="E49" s="131" t="str">
        <f t="shared" si="34"/>
        <v>  331,200 </v>
      </c>
      <c r="F49" s="131" t="str">
        <f t="shared" si="34"/>
        <v>  289,800 </v>
      </c>
      <c r="G49" s="131" t="str">
        <f t="shared" si="34"/>
        <v>  248,400 </v>
      </c>
      <c r="H49" s="131" t="str">
        <f t="shared" si="34"/>
        <v>  207,000 </v>
      </c>
      <c r="I49" s="131" t="str">
        <f t="shared" si="34"/>
        <v>  165,600 </v>
      </c>
      <c r="J49" s="85"/>
      <c r="K49" s="131" t="str">
        <f>C49</f>
        <v>  414,000 </v>
      </c>
      <c r="L49" s="131" t="str">
        <f t="shared" ref="L49:Q49" si="35">K52</f>
        <v>  372,600 </v>
      </c>
      <c r="M49" s="131" t="str">
        <f t="shared" si="35"/>
        <v>  335,340 </v>
      </c>
      <c r="N49" s="131" t="str">
        <f t="shared" si="35"/>
        <v>  301,806 </v>
      </c>
      <c r="O49" s="131" t="str">
        <f t="shared" si="35"/>
        <v>  271,625 </v>
      </c>
      <c r="P49" s="131" t="str">
        <f t="shared" si="35"/>
        <v>  244,463 </v>
      </c>
      <c r="Q49" s="131" t="str">
        <f t="shared" si="35"/>
        <v>  220,017 </v>
      </c>
    </row>
    <row r="50" ht="15.75" customHeight="1">
      <c r="A50" s="129" t="s">
        <v>203</v>
      </c>
      <c r="B50" s="129"/>
      <c r="C50" s="131" t="str">
        <f t="shared" ref="C50:I50" si="36">$C$49*$B$75</f>
        <v>  41,400 </v>
      </c>
      <c r="D50" s="131" t="str">
        <f t="shared" si="36"/>
        <v>  41,400 </v>
      </c>
      <c r="E50" s="131" t="str">
        <f t="shared" si="36"/>
        <v>  41,400 </v>
      </c>
      <c r="F50" s="131" t="str">
        <f t="shared" si="36"/>
        <v>  41,400 </v>
      </c>
      <c r="G50" s="131" t="str">
        <f t="shared" si="36"/>
        <v>  41,400 </v>
      </c>
      <c r="H50" s="131" t="str">
        <f t="shared" si="36"/>
        <v>  41,400 </v>
      </c>
      <c r="I50" s="131" t="str">
        <f t="shared" si="36"/>
        <v>  41,400 </v>
      </c>
      <c r="J50" s="85"/>
      <c r="K50" s="131" t="str">
        <f t="shared" ref="K50:Q50" si="37">K49*$C$75</f>
        <v>  41,400 </v>
      </c>
      <c r="L50" s="131" t="str">
        <f t="shared" si="37"/>
        <v>  37,260 </v>
      </c>
      <c r="M50" s="131" t="str">
        <f t="shared" si="37"/>
        <v>  33,534 </v>
      </c>
      <c r="N50" s="131" t="str">
        <f t="shared" si="37"/>
        <v>  30,181 </v>
      </c>
      <c r="O50" s="131" t="str">
        <f t="shared" si="37"/>
        <v>  27,163 </v>
      </c>
      <c r="P50" s="131" t="str">
        <f t="shared" si="37"/>
        <v>  24,446 </v>
      </c>
      <c r="Q50" s="131" t="str">
        <f t="shared" si="37"/>
        <v>  22,002 </v>
      </c>
    </row>
    <row r="51" ht="15.75" customHeight="1">
      <c r="A51" s="129" t="s">
        <v>204</v>
      </c>
      <c r="B51" s="129"/>
      <c r="C51" s="131" t="str">
        <f>C50</f>
        <v>  41,400 </v>
      </c>
      <c r="D51" s="131" t="str">
        <f t="shared" ref="D51:I51" si="38">C51+D50</f>
        <v>  82,800 </v>
      </c>
      <c r="E51" s="131" t="str">
        <f t="shared" si="38"/>
        <v>  124,200 </v>
      </c>
      <c r="F51" s="131" t="str">
        <f t="shared" si="38"/>
        <v>  165,600 </v>
      </c>
      <c r="G51" s="131" t="str">
        <f t="shared" si="38"/>
        <v>  207,000 </v>
      </c>
      <c r="H51" s="131" t="str">
        <f t="shared" si="38"/>
        <v>  248,400 </v>
      </c>
      <c r="I51" s="131" t="str">
        <f t="shared" si="38"/>
        <v>  289,800 </v>
      </c>
      <c r="J51" s="85"/>
      <c r="K51" s="131" t="str">
        <f>K50</f>
        <v>  41,400 </v>
      </c>
      <c r="L51" s="131" t="str">
        <f t="shared" ref="L51:Q51" si="39">K51+L50</f>
        <v>  78,660 </v>
      </c>
      <c r="M51" s="131" t="str">
        <f t="shared" si="39"/>
        <v>  112,194 </v>
      </c>
      <c r="N51" s="131" t="str">
        <f t="shared" si="39"/>
        <v>  142,375 </v>
      </c>
      <c r="O51" s="131" t="str">
        <f t="shared" si="39"/>
        <v>  169,537 </v>
      </c>
      <c r="P51" s="131" t="str">
        <f t="shared" si="39"/>
        <v>  193,983 </v>
      </c>
      <c r="Q51" s="131" t="str">
        <f t="shared" si="39"/>
        <v>  215,985 </v>
      </c>
    </row>
    <row r="52" ht="15.75" customHeight="1">
      <c r="A52" s="129" t="s">
        <v>205</v>
      </c>
      <c r="B52" s="129"/>
      <c r="C52" s="131" t="str">
        <f t="shared" ref="C52:I52" si="40">C49-C50</f>
        <v>  372,600 </v>
      </c>
      <c r="D52" s="131" t="str">
        <f t="shared" si="40"/>
        <v>  331,200 </v>
      </c>
      <c r="E52" s="131" t="str">
        <f t="shared" si="40"/>
        <v>  289,800 </v>
      </c>
      <c r="F52" s="131" t="str">
        <f t="shared" si="40"/>
        <v>  248,400 </v>
      </c>
      <c r="G52" s="131" t="str">
        <f t="shared" si="40"/>
        <v>  207,000 </v>
      </c>
      <c r="H52" s="131" t="str">
        <f t="shared" si="40"/>
        <v>  165,600 </v>
      </c>
      <c r="I52" s="131" t="str">
        <f t="shared" si="40"/>
        <v>  124,200 </v>
      </c>
      <c r="J52" s="85"/>
      <c r="K52" s="131" t="str">
        <f t="shared" ref="K52:Q52" si="41">K49-K50</f>
        <v>  372,600 </v>
      </c>
      <c r="L52" s="131" t="str">
        <f t="shared" si="41"/>
        <v>  335,340 </v>
      </c>
      <c r="M52" s="131" t="str">
        <f t="shared" si="41"/>
        <v>  301,806 </v>
      </c>
      <c r="N52" s="131" t="str">
        <f t="shared" si="41"/>
        <v>  271,625 </v>
      </c>
      <c r="O52" s="131" t="str">
        <f t="shared" si="41"/>
        <v>  244,463 </v>
      </c>
      <c r="P52" s="131" t="str">
        <f t="shared" si="41"/>
        <v>  220,017 </v>
      </c>
      <c r="Q52" s="131" t="str">
        <f t="shared" si="41"/>
        <v>  198,015 </v>
      </c>
    </row>
    <row r="53" ht="15.75" customHeight="1">
      <c r="A53" s="129"/>
      <c r="B53" s="129"/>
      <c r="C53" s="131"/>
      <c r="D53" s="131"/>
      <c r="E53" s="131"/>
      <c r="F53" s="131"/>
      <c r="G53" s="131"/>
      <c r="H53" s="131"/>
      <c r="I53" s="131"/>
      <c r="J53" s="85"/>
      <c r="K53" s="131"/>
      <c r="L53" s="131"/>
      <c r="M53" s="131"/>
      <c r="N53" s="131"/>
      <c r="O53" s="131"/>
      <c r="P53" s="131"/>
      <c r="Q53" s="131"/>
    </row>
    <row r="54" ht="15.75" customHeight="1">
      <c r="A54" s="130" t="s">
        <v>208</v>
      </c>
      <c r="B54" s="130"/>
      <c r="C54" s="131"/>
      <c r="D54" s="131"/>
      <c r="E54" s="131"/>
      <c r="F54" s="131"/>
      <c r="G54" s="131"/>
      <c r="H54" s="131"/>
      <c r="I54" s="131"/>
      <c r="J54" s="85"/>
      <c r="K54" s="131"/>
      <c r="L54" s="131"/>
      <c r="M54" s="131"/>
      <c r="N54" s="131"/>
      <c r="O54" s="131"/>
      <c r="P54" s="131"/>
      <c r="Q54" s="131"/>
    </row>
    <row r="55" ht="15.75" customHeight="1">
      <c r="A55" s="129" t="s">
        <v>202</v>
      </c>
      <c r="B55" s="129"/>
      <c r="C55" s="131" t="str">
        <f>'1.Project Cost and MOF'!D10</f>
        <v>  -   </v>
      </c>
      <c r="D55" s="131" t="str">
        <f t="shared" ref="D55:I55" si="42">C58</f>
        <v>  -   </v>
      </c>
      <c r="E55" s="131" t="str">
        <f t="shared" si="42"/>
        <v>  -   </v>
      </c>
      <c r="F55" s="131" t="str">
        <f t="shared" si="42"/>
        <v>  -   </v>
      </c>
      <c r="G55" s="131" t="str">
        <f t="shared" si="42"/>
        <v>  -   </v>
      </c>
      <c r="H55" s="131" t="str">
        <f t="shared" si="42"/>
        <v>  -   </v>
      </c>
      <c r="I55" s="131" t="str">
        <f t="shared" si="42"/>
        <v>  -   </v>
      </c>
      <c r="J55" s="85"/>
      <c r="K55" s="131" t="str">
        <f>C55</f>
        <v>  -   </v>
      </c>
      <c r="L55" s="131" t="str">
        <f t="shared" ref="L55:Q55" si="43">K58</f>
        <v>  -   </v>
      </c>
      <c r="M55" s="131" t="str">
        <f t="shared" si="43"/>
        <v>  -   </v>
      </c>
      <c r="N55" s="131" t="str">
        <f t="shared" si="43"/>
        <v>  -   </v>
      </c>
      <c r="O55" s="131" t="str">
        <f t="shared" si="43"/>
        <v>  -   </v>
      </c>
      <c r="P55" s="131" t="str">
        <f t="shared" si="43"/>
        <v>  -   </v>
      </c>
      <c r="Q55" s="131" t="str">
        <f t="shared" si="43"/>
        <v>  -   </v>
      </c>
    </row>
    <row r="56" ht="15.75" customHeight="1">
      <c r="A56" s="129" t="s">
        <v>203</v>
      </c>
      <c r="B56" s="129"/>
      <c r="C56" s="131" t="str">
        <f t="shared" ref="C56:I56" si="44">$C$55*$B$77</f>
        <v>  -   </v>
      </c>
      <c r="D56" s="131" t="str">
        <f t="shared" si="44"/>
        <v>  -   </v>
      </c>
      <c r="E56" s="131" t="str">
        <f t="shared" si="44"/>
        <v>  -   </v>
      </c>
      <c r="F56" s="131" t="str">
        <f t="shared" si="44"/>
        <v>  -   </v>
      </c>
      <c r="G56" s="131" t="str">
        <f t="shared" si="44"/>
        <v>  -   </v>
      </c>
      <c r="H56" s="131" t="str">
        <f t="shared" si="44"/>
        <v>  -   </v>
      </c>
      <c r="I56" s="131" t="str">
        <f t="shared" si="44"/>
        <v>  -   </v>
      </c>
      <c r="J56" s="85"/>
      <c r="K56" s="131" t="str">
        <f t="shared" ref="K56:Q56" si="45">K55*$C$77</f>
        <v>  -   </v>
      </c>
      <c r="L56" s="131" t="str">
        <f t="shared" si="45"/>
        <v>  -   </v>
      </c>
      <c r="M56" s="131" t="str">
        <f t="shared" si="45"/>
        <v>  -   </v>
      </c>
      <c r="N56" s="131" t="str">
        <f t="shared" si="45"/>
        <v>  -   </v>
      </c>
      <c r="O56" s="131" t="str">
        <f t="shared" si="45"/>
        <v>  -   </v>
      </c>
      <c r="P56" s="131" t="str">
        <f t="shared" si="45"/>
        <v>  -   </v>
      </c>
      <c r="Q56" s="131" t="str">
        <f t="shared" si="45"/>
        <v>  -   </v>
      </c>
    </row>
    <row r="57" ht="15.75" customHeight="1">
      <c r="A57" s="129" t="s">
        <v>204</v>
      </c>
      <c r="B57" s="129"/>
      <c r="C57" s="131" t="str">
        <f>C56</f>
        <v>  -   </v>
      </c>
      <c r="D57" s="131" t="str">
        <f t="shared" ref="D57:I57" si="46">C57+D56</f>
        <v>  -   </v>
      </c>
      <c r="E57" s="131" t="str">
        <f t="shared" si="46"/>
        <v>  -   </v>
      </c>
      <c r="F57" s="131" t="str">
        <f t="shared" si="46"/>
        <v>  -   </v>
      </c>
      <c r="G57" s="131" t="str">
        <f t="shared" si="46"/>
        <v>  -   </v>
      </c>
      <c r="H57" s="131" t="str">
        <f t="shared" si="46"/>
        <v>  -   </v>
      </c>
      <c r="I57" s="131" t="str">
        <f t="shared" si="46"/>
        <v>  -   </v>
      </c>
      <c r="J57" s="85"/>
      <c r="K57" s="131" t="str">
        <f>K56</f>
        <v>  -   </v>
      </c>
      <c r="L57" s="131" t="str">
        <f t="shared" ref="L57:Q57" si="47">K57+L56</f>
        <v>  -   </v>
      </c>
      <c r="M57" s="131" t="str">
        <f t="shared" si="47"/>
        <v>  -   </v>
      </c>
      <c r="N57" s="131" t="str">
        <f t="shared" si="47"/>
        <v>  -   </v>
      </c>
      <c r="O57" s="131" t="str">
        <f t="shared" si="47"/>
        <v>  -   </v>
      </c>
      <c r="P57" s="131" t="str">
        <f t="shared" si="47"/>
        <v>  -   </v>
      </c>
      <c r="Q57" s="131" t="str">
        <f t="shared" si="47"/>
        <v>  -   </v>
      </c>
    </row>
    <row r="58" ht="15.75" customHeight="1">
      <c r="A58" s="129" t="s">
        <v>205</v>
      </c>
      <c r="B58" s="129"/>
      <c r="C58" s="131" t="str">
        <f t="shared" ref="C58:I58" si="48">C55-C56</f>
        <v>  -   </v>
      </c>
      <c r="D58" s="131" t="str">
        <f t="shared" si="48"/>
        <v>  -   </v>
      </c>
      <c r="E58" s="131" t="str">
        <f t="shared" si="48"/>
        <v>  -   </v>
      </c>
      <c r="F58" s="131" t="str">
        <f t="shared" si="48"/>
        <v>  -   </v>
      </c>
      <c r="G58" s="131" t="str">
        <f t="shared" si="48"/>
        <v>  -   </v>
      </c>
      <c r="H58" s="131" t="str">
        <f t="shared" si="48"/>
        <v>  -   </v>
      </c>
      <c r="I58" s="131" t="str">
        <f t="shared" si="48"/>
        <v>  -   </v>
      </c>
      <c r="J58" s="85"/>
      <c r="K58" s="131" t="str">
        <f t="shared" ref="K58:Q58" si="49">K55-K56</f>
        <v>  -   </v>
      </c>
      <c r="L58" s="131" t="str">
        <f t="shared" si="49"/>
        <v>  -   </v>
      </c>
      <c r="M58" s="131" t="str">
        <f t="shared" si="49"/>
        <v>  -   </v>
      </c>
      <c r="N58" s="131" t="str">
        <f t="shared" si="49"/>
        <v>  -   </v>
      </c>
      <c r="O58" s="131" t="str">
        <f t="shared" si="49"/>
        <v>  -   </v>
      </c>
      <c r="P58" s="131" t="str">
        <f t="shared" si="49"/>
        <v>  -   </v>
      </c>
      <c r="Q58" s="131" t="str">
        <f t="shared" si="49"/>
        <v>  -   </v>
      </c>
    </row>
    <row r="59" ht="15.75" customHeight="1">
      <c r="A59" s="129"/>
      <c r="B59" s="129"/>
      <c r="C59" s="131"/>
      <c r="D59" s="131"/>
      <c r="E59" s="131"/>
      <c r="F59" s="131"/>
      <c r="G59" s="131"/>
      <c r="H59" s="131"/>
      <c r="I59" s="131"/>
      <c r="J59" s="85"/>
      <c r="K59" s="131"/>
      <c r="L59" s="131"/>
      <c r="M59" s="131"/>
      <c r="N59" s="131"/>
      <c r="O59" s="131"/>
      <c r="P59" s="131"/>
      <c r="Q59" s="131"/>
    </row>
    <row r="60" ht="15.75" customHeight="1">
      <c r="A60" s="132" t="s">
        <v>209</v>
      </c>
      <c r="B60" s="129"/>
      <c r="C60" s="131"/>
      <c r="D60" s="131"/>
      <c r="E60" s="131"/>
      <c r="F60" s="131"/>
      <c r="G60" s="131"/>
      <c r="H60" s="131"/>
      <c r="I60" s="131"/>
      <c r="J60" s="85"/>
      <c r="K60" s="131"/>
      <c r="L60" s="131"/>
      <c r="M60" s="131"/>
      <c r="N60" s="131"/>
      <c r="O60" s="131"/>
      <c r="P60" s="131"/>
      <c r="Q60" s="131"/>
    </row>
    <row r="61" ht="15.75" customHeight="1">
      <c r="A61" s="129" t="str">
        <f t="shared" ref="A61:A64" si="52">A55</f>
        <v>Asset Value</v>
      </c>
      <c r="B61" s="129"/>
      <c r="C61" s="131" t="str">
        <f>'1.Project Cost and MOF'!D9</f>
        <v>  633,070 </v>
      </c>
      <c r="D61" s="131" t="str">
        <f t="shared" ref="D61:I61" si="50">C64</f>
        <v>  569,763 </v>
      </c>
      <c r="E61" s="131" t="str">
        <f t="shared" si="50"/>
        <v>  506,456 </v>
      </c>
      <c r="F61" s="131" t="str">
        <f t="shared" si="50"/>
        <v>  443,149 </v>
      </c>
      <c r="G61" s="131" t="str">
        <f t="shared" si="50"/>
        <v>  379,842 </v>
      </c>
      <c r="H61" s="131" t="str">
        <f t="shared" si="50"/>
        <v>  316,535 </v>
      </c>
      <c r="I61" s="131" t="str">
        <f t="shared" si="50"/>
        <v>  253,228 </v>
      </c>
      <c r="J61" s="85"/>
      <c r="K61" s="131" t="str">
        <f>C61</f>
        <v>  633,070 </v>
      </c>
      <c r="L61" s="131" t="str">
        <f t="shared" ref="L61:Q61" si="51">K64</f>
        <v>  379,842 </v>
      </c>
      <c r="M61" s="131" t="str">
        <f t="shared" si="51"/>
        <v>  227,905 </v>
      </c>
      <c r="N61" s="131" t="str">
        <f t="shared" si="51"/>
        <v>  136,743 </v>
      </c>
      <c r="O61" s="131" t="str">
        <f t="shared" si="51"/>
        <v>  82,046 </v>
      </c>
      <c r="P61" s="131" t="str">
        <f t="shared" si="51"/>
        <v>  49,228 </v>
      </c>
      <c r="Q61" s="131" t="str">
        <f t="shared" si="51"/>
        <v>  29,537 </v>
      </c>
    </row>
    <row r="62" ht="15.75" customHeight="1">
      <c r="A62" s="129" t="str">
        <f t="shared" si="52"/>
        <v>Depreciation</v>
      </c>
      <c r="B62" s="129"/>
      <c r="C62" s="131" t="str">
        <f t="shared" ref="C62:I62" si="53">$C$61*$B$76</f>
        <v>  63,307 </v>
      </c>
      <c r="D62" s="131" t="str">
        <f t="shared" si="53"/>
        <v>  63,307 </v>
      </c>
      <c r="E62" s="131" t="str">
        <f t="shared" si="53"/>
        <v>  63,307 </v>
      </c>
      <c r="F62" s="131" t="str">
        <f t="shared" si="53"/>
        <v>  63,307 </v>
      </c>
      <c r="G62" s="131" t="str">
        <f t="shared" si="53"/>
        <v>  63,307 </v>
      </c>
      <c r="H62" s="131" t="str">
        <f t="shared" si="53"/>
        <v>  63,307 </v>
      </c>
      <c r="I62" s="131" t="str">
        <f t="shared" si="53"/>
        <v>  63,307 </v>
      </c>
      <c r="J62" s="85"/>
      <c r="K62" s="131" t="str">
        <f t="shared" ref="K62:Q62" si="54">K61*$C$76</f>
        <v>  253,228 </v>
      </c>
      <c r="L62" s="131" t="str">
        <f t="shared" si="54"/>
        <v>  151,937 </v>
      </c>
      <c r="M62" s="131" t="str">
        <f t="shared" si="54"/>
        <v>  91,162 </v>
      </c>
      <c r="N62" s="131" t="str">
        <f t="shared" si="54"/>
        <v>  54,697 </v>
      </c>
      <c r="O62" s="131" t="str">
        <f t="shared" si="54"/>
        <v>  32,818 </v>
      </c>
      <c r="P62" s="131" t="str">
        <f t="shared" si="54"/>
        <v>  19,691 </v>
      </c>
      <c r="Q62" s="131" t="str">
        <f t="shared" si="54"/>
        <v>  11,815 </v>
      </c>
    </row>
    <row r="63" ht="15.75" customHeight="1">
      <c r="A63" s="129" t="str">
        <f t="shared" si="52"/>
        <v>Accumulated Depreciation</v>
      </c>
      <c r="B63" s="129"/>
      <c r="C63" s="131" t="str">
        <f>C62</f>
        <v>  63,307 </v>
      </c>
      <c r="D63" s="131" t="str">
        <f t="shared" ref="D63:I63" si="55">D62+C63</f>
        <v>  126,614 </v>
      </c>
      <c r="E63" s="131" t="str">
        <f t="shared" si="55"/>
        <v>  189,921 </v>
      </c>
      <c r="F63" s="131" t="str">
        <f t="shared" si="55"/>
        <v>  253,228 </v>
      </c>
      <c r="G63" s="131" t="str">
        <f t="shared" si="55"/>
        <v>  316,535 </v>
      </c>
      <c r="H63" s="131" t="str">
        <f t="shared" si="55"/>
        <v>  379,842 </v>
      </c>
      <c r="I63" s="131" t="str">
        <f t="shared" si="55"/>
        <v>  443,149 </v>
      </c>
      <c r="J63" s="85"/>
      <c r="K63" s="131" t="str">
        <f>K62</f>
        <v>  253,228 </v>
      </c>
      <c r="L63" s="131" t="str">
        <f t="shared" ref="L63:Q63" si="56">L62+K63</f>
        <v>  405,165 </v>
      </c>
      <c r="M63" s="131" t="str">
        <f t="shared" si="56"/>
        <v>  496,327 </v>
      </c>
      <c r="N63" s="131" t="str">
        <f t="shared" si="56"/>
        <v>  551,024 </v>
      </c>
      <c r="O63" s="131" t="str">
        <f t="shared" si="56"/>
        <v>  583,842 </v>
      </c>
      <c r="P63" s="131" t="str">
        <f t="shared" si="56"/>
        <v>  603,533 </v>
      </c>
      <c r="Q63" s="131" t="str">
        <f t="shared" si="56"/>
        <v>  615,348 </v>
      </c>
    </row>
    <row r="64" ht="15.75" customHeight="1">
      <c r="A64" s="129" t="str">
        <f t="shared" si="52"/>
        <v>Net Fixed Assets</v>
      </c>
      <c r="B64" s="129"/>
      <c r="C64" s="131" t="str">
        <f t="shared" ref="C64:I64" si="57">C61-C62</f>
        <v>  569,763 </v>
      </c>
      <c r="D64" s="131" t="str">
        <f t="shared" si="57"/>
        <v>  506,456 </v>
      </c>
      <c r="E64" s="131" t="str">
        <f t="shared" si="57"/>
        <v>  443,149 </v>
      </c>
      <c r="F64" s="131" t="str">
        <f t="shared" si="57"/>
        <v>  379,842 </v>
      </c>
      <c r="G64" s="131" t="str">
        <f t="shared" si="57"/>
        <v>  316,535 </v>
      </c>
      <c r="H64" s="131" t="str">
        <f t="shared" si="57"/>
        <v>  253,228 </v>
      </c>
      <c r="I64" s="131" t="str">
        <f t="shared" si="57"/>
        <v>  189,921 </v>
      </c>
      <c r="J64" s="85"/>
      <c r="K64" s="131" t="str">
        <f t="shared" ref="K64:Q64" si="58">K61-K62</f>
        <v>  379,842 </v>
      </c>
      <c r="L64" s="131" t="str">
        <f t="shared" si="58"/>
        <v>  227,905 </v>
      </c>
      <c r="M64" s="131" t="str">
        <f t="shared" si="58"/>
        <v>  136,743 </v>
      </c>
      <c r="N64" s="131" t="str">
        <f t="shared" si="58"/>
        <v>  82,046 </v>
      </c>
      <c r="O64" s="131" t="str">
        <f t="shared" si="58"/>
        <v>  49,228 </v>
      </c>
      <c r="P64" s="131" t="str">
        <f t="shared" si="58"/>
        <v>  29,537 </v>
      </c>
      <c r="Q64" s="131" t="str">
        <f t="shared" si="58"/>
        <v>  17,722 </v>
      </c>
    </row>
    <row r="65" ht="15.75" customHeight="1">
      <c r="A65" s="130" t="s">
        <v>210</v>
      </c>
      <c r="B65" s="130"/>
      <c r="C65" s="133" t="str">
        <f t="shared" ref="C65:I65" si="59">C49+C43+C37+C55+C61</f>
        <v>  26,068,370 </v>
      </c>
      <c r="D65" s="133" t="str">
        <f t="shared" si="59"/>
        <v>  24,983,185 </v>
      </c>
      <c r="E65" s="133" t="str">
        <f t="shared" si="59"/>
        <v>  23,898,000 </v>
      </c>
      <c r="F65" s="133" t="str">
        <f t="shared" si="59"/>
        <v>  22,812,815 </v>
      </c>
      <c r="G65" s="133" t="str">
        <f t="shared" si="59"/>
        <v>  21,727,630 </v>
      </c>
      <c r="H65" s="133" t="str">
        <f t="shared" si="59"/>
        <v>  20,642,446 </v>
      </c>
      <c r="I65" s="133" t="str">
        <f t="shared" si="59"/>
        <v>  19,557,261 </v>
      </c>
      <c r="J65" s="85"/>
      <c r="K65" s="133" t="str">
        <f t="shared" ref="K65:Q65" si="60">K49+K43+K37+K55+K61</f>
        <v>  26,068,370 </v>
      </c>
      <c r="L65" s="133" t="str">
        <f t="shared" si="60"/>
        <v>  22,975,247 </v>
      </c>
      <c r="M65" s="133" t="str">
        <f t="shared" si="60"/>
        <v>  20,311,859 </v>
      </c>
      <c r="N65" s="133" t="str">
        <f t="shared" si="60"/>
        <v>  17,998,178 </v>
      </c>
      <c r="O65" s="133" t="str">
        <f t="shared" si="60"/>
        <v>  15,975,332 </v>
      </c>
      <c r="P65" s="133" t="str">
        <f t="shared" si="60"/>
        <v>  14,198,481 </v>
      </c>
      <c r="Q65" s="133" t="str">
        <f t="shared" si="60"/>
        <v>  12,632,366 </v>
      </c>
    </row>
    <row r="66" ht="15.75" customHeight="1">
      <c r="A66" s="130" t="s">
        <v>211</v>
      </c>
      <c r="B66" s="130"/>
      <c r="C66" s="133" t="str">
        <f t="shared" ref="C66:I66" si="61">C50+C44+C38+C56+C62</f>
        <v>  1,085,185 </v>
      </c>
      <c r="D66" s="133" t="str">
        <f t="shared" si="61"/>
        <v>  1,085,185 </v>
      </c>
      <c r="E66" s="133" t="str">
        <f t="shared" si="61"/>
        <v>  1,085,185 </v>
      </c>
      <c r="F66" s="133" t="str">
        <f t="shared" si="61"/>
        <v>  1,085,185 </v>
      </c>
      <c r="G66" s="133" t="str">
        <f t="shared" si="61"/>
        <v>  1,085,185 </v>
      </c>
      <c r="H66" s="133" t="str">
        <f t="shared" si="61"/>
        <v>  1,085,185 </v>
      </c>
      <c r="I66" s="133" t="str">
        <f t="shared" si="61"/>
        <v>  1,085,185 </v>
      </c>
      <c r="J66" s="85"/>
      <c r="K66" s="133" t="str">
        <f t="shared" ref="K66:Q66" si="62">K50+K44+K38+K56+K62</f>
        <v>  3,093,123 </v>
      </c>
      <c r="L66" s="133" t="str">
        <f t="shared" si="62"/>
        <v>  2,663,388 </v>
      </c>
      <c r="M66" s="133" t="str">
        <f t="shared" si="62"/>
        <v>  2,313,681 </v>
      </c>
      <c r="N66" s="133" t="str">
        <f t="shared" si="62"/>
        <v>  2,022,846 </v>
      </c>
      <c r="O66" s="133" t="str">
        <f t="shared" si="62"/>
        <v>  1,776,851 </v>
      </c>
      <c r="P66" s="133" t="str">
        <f t="shared" si="62"/>
        <v>  1,566,115 </v>
      </c>
      <c r="Q66" s="133" t="str">
        <f t="shared" si="62"/>
        <v>  1,383,871 </v>
      </c>
    </row>
    <row r="67" ht="15.75" customHeight="1">
      <c r="A67" s="130" t="s">
        <v>212</v>
      </c>
      <c r="B67" s="130"/>
      <c r="C67" s="133" t="str">
        <f t="shared" ref="C67:I67" si="63">C51+C45+C39+C57+C63</f>
        <v>  1,085,185 </v>
      </c>
      <c r="D67" s="133" t="str">
        <f t="shared" si="63"/>
        <v>  2,170,370 </v>
      </c>
      <c r="E67" s="133" t="str">
        <f t="shared" si="63"/>
        <v>  3,255,555 </v>
      </c>
      <c r="F67" s="133" t="str">
        <f t="shared" si="63"/>
        <v>  4,340,740 </v>
      </c>
      <c r="G67" s="133" t="str">
        <f t="shared" si="63"/>
        <v>  5,425,924 </v>
      </c>
      <c r="H67" s="133" t="str">
        <f t="shared" si="63"/>
        <v>  6,511,109 </v>
      </c>
      <c r="I67" s="133" t="str">
        <f t="shared" si="63"/>
        <v>  7,596,294 </v>
      </c>
      <c r="J67" s="85"/>
      <c r="K67" s="133" t="str">
        <f t="shared" ref="K67:Q67" si="64">K51+K45+K39+K57+K63</f>
        <v>  3,093,123 </v>
      </c>
      <c r="L67" s="133" t="str">
        <f t="shared" si="64"/>
        <v>  5,756,511 </v>
      </c>
      <c r="M67" s="133" t="str">
        <f t="shared" si="64"/>
        <v>  8,070,192 </v>
      </c>
      <c r="N67" s="133" t="str">
        <f t="shared" si="64"/>
        <v>  10,093,038 </v>
      </c>
      <c r="O67" s="133" t="str">
        <f t="shared" si="64"/>
        <v>  11,869,889 </v>
      </c>
      <c r="P67" s="133" t="str">
        <f t="shared" si="64"/>
        <v>  13,436,004 </v>
      </c>
      <c r="Q67" s="133" t="str">
        <f t="shared" si="64"/>
        <v>  14,819,876 </v>
      </c>
    </row>
    <row r="68" ht="15.75" customHeight="1">
      <c r="A68" s="130" t="s">
        <v>205</v>
      </c>
      <c r="B68" s="130"/>
      <c r="C68" s="133" t="str">
        <f t="shared" ref="C68:I68" si="65">C52+C46+C40+C58+C64</f>
        <v>  24,983,185 </v>
      </c>
      <c r="D68" s="133" t="str">
        <f t="shared" si="65"/>
        <v>  23,898,000 </v>
      </c>
      <c r="E68" s="133" t="str">
        <f t="shared" si="65"/>
        <v>  22,812,815 </v>
      </c>
      <c r="F68" s="133" t="str">
        <f t="shared" si="65"/>
        <v>  21,727,630 </v>
      </c>
      <c r="G68" s="133" t="str">
        <f t="shared" si="65"/>
        <v>  20,642,446 </v>
      </c>
      <c r="H68" s="133" t="str">
        <f t="shared" si="65"/>
        <v>  19,557,261 </v>
      </c>
      <c r="I68" s="133" t="str">
        <f t="shared" si="65"/>
        <v>  18,472,076 </v>
      </c>
      <c r="J68" s="85"/>
      <c r="K68" s="133" t="str">
        <f t="shared" ref="K68:Q68" si="66">K52+K46+K40+K58+K64</f>
        <v>  22,975,247 </v>
      </c>
      <c r="L68" s="133" t="str">
        <f t="shared" si="66"/>
        <v>  20,311,859 </v>
      </c>
      <c r="M68" s="133" t="str">
        <f t="shared" si="66"/>
        <v>  17,998,178 </v>
      </c>
      <c r="N68" s="133" t="str">
        <f t="shared" si="66"/>
        <v>  15,975,332 </v>
      </c>
      <c r="O68" s="133" t="str">
        <f t="shared" si="66"/>
        <v>  14,198,481 </v>
      </c>
      <c r="P68" s="133" t="str">
        <f t="shared" si="66"/>
        <v>  12,632,366 </v>
      </c>
      <c r="Q68" s="133" t="str">
        <f t="shared" si="66"/>
        <v>  11,248,494 </v>
      </c>
    </row>
    <row r="69" ht="15.75" customHeight="1">
      <c r="A69" s="134"/>
      <c r="B69" s="134"/>
      <c r="C69" s="135"/>
      <c r="D69" s="135"/>
      <c r="E69" s="135"/>
      <c r="F69" s="135"/>
      <c r="G69" s="135"/>
      <c r="H69" s="135"/>
      <c r="I69" s="135"/>
      <c r="J69" s="110"/>
    </row>
    <row r="70" ht="15.75" customHeight="1">
      <c r="A70" s="110"/>
      <c r="B70" s="110"/>
      <c r="C70" s="110"/>
      <c r="D70" s="110"/>
      <c r="E70" s="110"/>
      <c r="F70" s="110"/>
      <c r="G70" s="110"/>
      <c r="H70" s="110"/>
      <c r="I70" s="110"/>
      <c r="J70" s="110"/>
    </row>
    <row r="71" ht="15.75" customHeight="1">
      <c r="A71" s="136" t="s">
        <v>213</v>
      </c>
      <c r="B71" s="137" t="s">
        <v>214</v>
      </c>
      <c r="C71" s="138" t="s">
        <v>215</v>
      </c>
      <c r="D71" s="110"/>
      <c r="E71" s="110"/>
      <c r="F71" s="110"/>
      <c r="G71" s="110"/>
      <c r="H71" s="110"/>
      <c r="I71" s="110"/>
      <c r="J71" s="110"/>
    </row>
    <row r="72" ht="15.75" customHeight="1">
      <c r="A72" s="139" t="s">
        <v>216</v>
      </c>
      <c r="B72" s="137" t="s">
        <v>217</v>
      </c>
      <c r="C72" s="138" t="s">
        <v>218</v>
      </c>
      <c r="D72" s="110"/>
      <c r="E72" s="110"/>
      <c r="F72" s="110"/>
      <c r="G72" s="110"/>
      <c r="H72" s="110"/>
      <c r="I72" s="110"/>
      <c r="J72" s="110"/>
    </row>
    <row r="73" ht="15.75" customHeight="1">
      <c r="A73" s="139" t="s">
        <v>128</v>
      </c>
      <c r="B73" s="112">
        <v>0.0</v>
      </c>
      <c r="C73" s="112">
        <v>0.0</v>
      </c>
      <c r="D73" s="110"/>
      <c r="E73" s="110"/>
      <c r="F73" s="110"/>
      <c r="G73" s="110"/>
      <c r="H73" s="110"/>
      <c r="I73" s="110"/>
      <c r="J73" s="110"/>
    </row>
    <row r="74" ht="15.75" customHeight="1">
      <c r="A74" s="140" t="s">
        <v>201</v>
      </c>
      <c r="B74" s="112">
        <v>0.0317</v>
      </c>
      <c r="C74" s="112">
        <v>0.1</v>
      </c>
      <c r="D74" s="111"/>
      <c r="E74" s="110"/>
      <c r="F74" s="110"/>
      <c r="G74" s="110"/>
      <c r="H74" s="110"/>
      <c r="I74" s="110"/>
      <c r="J74" s="110"/>
    </row>
    <row r="75" ht="15.75" customHeight="1">
      <c r="A75" s="140" t="s">
        <v>207</v>
      </c>
      <c r="B75" s="141">
        <v>0.1</v>
      </c>
      <c r="C75" s="112">
        <v>0.1</v>
      </c>
      <c r="D75" s="110"/>
      <c r="E75" s="110"/>
      <c r="F75" s="110"/>
      <c r="G75" s="110"/>
      <c r="H75" s="110"/>
      <c r="I75" s="110"/>
      <c r="J75" s="110"/>
    </row>
    <row r="76" ht="15.75" customHeight="1">
      <c r="A76" s="110" t="s">
        <v>219</v>
      </c>
      <c r="B76" s="141">
        <v>0.1</v>
      </c>
      <c r="C76" s="141">
        <v>0.4</v>
      </c>
      <c r="D76" s="110"/>
      <c r="E76" s="110"/>
      <c r="F76" s="110"/>
      <c r="G76" s="110"/>
      <c r="H76" s="110"/>
      <c r="I76" s="110"/>
      <c r="J76" s="110"/>
    </row>
    <row r="77" ht="15.75" customHeight="1">
      <c r="A77" s="110" t="s">
        <v>220</v>
      </c>
      <c r="B77" s="141">
        <v>0.1188</v>
      </c>
      <c r="C77" s="141">
        <v>0.15</v>
      </c>
      <c r="D77" s="110"/>
      <c r="E77" s="110"/>
      <c r="F77" s="110"/>
      <c r="G77" s="110"/>
      <c r="H77" s="110"/>
      <c r="I77" s="110"/>
      <c r="J77" s="110"/>
    </row>
    <row r="78" ht="15.75" customHeight="1">
      <c r="A78" s="140" t="s">
        <v>221</v>
      </c>
      <c r="B78" s="141">
        <v>0.0633</v>
      </c>
      <c r="C78" s="141">
        <v>0.15</v>
      </c>
      <c r="D78" s="110"/>
      <c r="E78" s="110"/>
      <c r="F78" s="110"/>
      <c r="G78" s="110"/>
      <c r="H78" s="110"/>
      <c r="I78" s="110"/>
      <c r="J78" s="110"/>
    </row>
    <row r="79" ht="15.75" customHeight="1">
      <c r="A79" s="139" t="s">
        <v>213</v>
      </c>
      <c r="B79" s="112"/>
      <c r="C79" s="111"/>
      <c r="D79" s="110"/>
      <c r="E79" s="110"/>
      <c r="F79" s="110"/>
      <c r="G79" s="110"/>
      <c r="H79" s="110"/>
      <c r="I79" s="110"/>
      <c r="J79" s="110"/>
    </row>
    <row r="80" ht="15.75" customHeight="1">
      <c r="A80" s="140" t="s">
        <v>222</v>
      </c>
      <c r="B80" s="111">
        <v>0.2</v>
      </c>
      <c r="C80" s="111">
        <v>0.2</v>
      </c>
      <c r="D80" s="110"/>
      <c r="E80" s="110"/>
      <c r="F80" s="110"/>
      <c r="G80" s="110"/>
      <c r="H80" s="110"/>
      <c r="I80" s="110"/>
      <c r="J80" s="110"/>
    </row>
    <row r="81" ht="15.75" customHeight="1">
      <c r="A81" s="110"/>
      <c r="B81" s="110"/>
      <c r="C81" s="110"/>
      <c r="D81" s="110"/>
      <c r="E81" s="110"/>
      <c r="F81" s="110"/>
      <c r="G81" s="110"/>
      <c r="H81" s="110"/>
      <c r="I81" s="110"/>
      <c r="J81" s="110"/>
    </row>
    <row r="82" ht="15.75" customHeight="1">
      <c r="A82" s="110"/>
      <c r="B82" s="110"/>
      <c r="C82" s="110"/>
      <c r="D82" s="110"/>
      <c r="E82" s="111"/>
      <c r="F82" s="110"/>
      <c r="G82" s="110"/>
      <c r="H82" s="110"/>
      <c r="I82" s="110"/>
      <c r="J82" s="110"/>
    </row>
    <row r="83" ht="15.75" customHeight="1">
      <c r="A83" s="26" t="s">
        <v>223</v>
      </c>
      <c r="K83" s="142"/>
      <c r="L83" s="142"/>
      <c r="M83" s="142"/>
      <c r="N83" s="142"/>
      <c r="O83" s="142"/>
      <c r="P83" s="142"/>
      <c r="Q83" s="142"/>
    </row>
    <row r="84" ht="15.75" customHeight="1">
      <c r="A84" s="143"/>
      <c r="B84" s="143"/>
      <c r="C84" s="142"/>
      <c r="D84" s="142"/>
      <c r="E84" s="142"/>
      <c r="F84" s="142"/>
      <c r="G84" s="142"/>
      <c r="H84" s="142"/>
      <c r="I84" s="142"/>
      <c r="J84" s="142"/>
      <c r="K84" s="142"/>
      <c r="L84" s="142"/>
      <c r="M84" s="142"/>
      <c r="N84" s="142"/>
      <c r="O84" s="142"/>
      <c r="P84" s="142"/>
      <c r="Q84" s="142"/>
    </row>
    <row r="85" ht="15.75" customHeight="1">
      <c r="A85" s="144" t="s">
        <v>174</v>
      </c>
      <c r="B85" s="145" t="s">
        <v>224</v>
      </c>
      <c r="C85" s="146" t="s">
        <v>177</v>
      </c>
      <c r="D85" s="146" t="s">
        <v>178</v>
      </c>
      <c r="E85" s="146" t="s">
        <v>179</v>
      </c>
      <c r="F85" s="146" t="s">
        <v>180</v>
      </c>
      <c r="G85" s="146" t="s">
        <v>181</v>
      </c>
      <c r="H85" s="146" t="s">
        <v>182</v>
      </c>
      <c r="I85" s="146" t="s">
        <v>183</v>
      </c>
      <c r="J85" s="147"/>
      <c r="K85" s="147"/>
      <c r="L85" s="147"/>
      <c r="M85" s="142"/>
      <c r="N85" s="142"/>
      <c r="O85" s="142"/>
      <c r="P85" s="142"/>
      <c r="Q85" s="142"/>
    </row>
    <row r="86" ht="15.75" customHeight="1">
      <c r="A86" s="148" t="s">
        <v>169</v>
      </c>
      <c r="B86" s="149">
        <v>5.0</v>
      </c>
      <c r="C86" s="131" t="str">
        <f>'1.Project Cost and MOF'!$D$11/5</f>
        <v>  12,588 </v>
      </c>
      <c r="D86" s="131" t="str">
        <f>'1.Project Cost and MOF'!$D$11/5</f>
        <v>  12,588 </v>
      </c>
      <c r="E86" s="131" t="str">
        <f>'1.Project Cost and MOF'!$D$11/5</f>
        <v>  12,588 </v>
      </c>
      <c r="F86" s="131" t="str">
        <f>'1.Project Cost and MOF'!$D$11/5</f>
        <v>  12,588 </v>
      </c>
      <c r="G86" s="131" t="str">
        <f>'1.Project Cost and MOF'!$D$11/5</f>
        <v>  12,588 </v>
      </c>
      <c r="H86" s="131">
        <v>0.0</v>
      </c>
      <c r="I86" s="131">
        <v>0.0</v>
      </c>
      <c r="J86" s="147"/>
      <c r="K86" s="147"/>
      <c r="L86" s="147"/>
      <c r="M86" s="142"/>
      <c r="N86" s="142"/>
      <c r="O86" s="142"/>
      <c r="P86" s="142"/>
      <c r="Q86" s="142"/>
    </row>
    <row r="87" ht="15.75" customHeight="1">
      <c r="A87" s="150" t="s">
        <v>225</v>
      </c>
      <c r="B87" s="151"/>
      <c r="C87" s="133" t="str">
        <f t="shared" ref="C87:I87" si="67">SUM(C85:C86)</f>
        <v>  12,588 </v>
      </c>
      <c r="D87" s="133" t="str">
        <f t="shared" si="67"/>
        <v>  12,588 </v>
      </c>
      <c r="E87" s="133" t="str">
        <f t="shared" si="67"/>
        <v>  12,588 </v>
      </c>
      <c r="F87" s="133" t="str">
        <f t="shared" si="67"/>
        <v>  12,588 </v>
      </c>
      <c r="G87" s="133" t="str">
        <f t="shared" si="67"/>
        <v>  12,588 </v>
      </c>
      <c r="H87" s="133" t="str">
        <f t="shared" si="67"/>
        <v>  -   </v>
      </c>
      <c r="I87" s="133" t="str">
        <f t="shared" si="67"/>
        <v>  -   </v>
      </c>
      <c r="J87" s="152"/>
      <c r="K87" s="152"/>
      <c r="L87" s="152"/>
      <c r="M87" s="142"/>
      <c r="N87" s="142"/>
      <c r="O87" s="142"/>
      <c r="P87" s="142"/>
      <c r="Q87" s="142"/>
    </row>
    <row r="88" ht="15.75" customHeight="1">
      <c r="A88" s="142"/>
      <c r="B88" s="142"/>
      <c r="C88" s="147"/>
      <c r="D88" s="147"/>
      <c r="E88" s="147"/>
      <c r="F88" s="147"/>
      <c r="G88" s="147"/>
      <c r="H88" s="147"/>
      <c r="I88" s="147"/>
      <c r="J88" s="147"/>
      <c r="K88" s="147"/>
      <c r="L88" s="147"/>
      <c r="M88" s="142"/>
      <c r="N88" s="142"/>
      <c r="O88" s="142"/>
      <c r="P88" s="142"/>
      <c r="Q88" s="142"/>
    </row>
    <row r="89" ht="15.75" customHeight="1"/>
    <row r="90" ht="15.75" customHeight="1"/>
    <row r="91" ht="15.75" customHeight="1">
      <c r="A91" s="153"/>
      <c r="B91" s="142"/>
      <c r="C91" s="142"/>
      <c r="D91" s="142"/>
      <c r="E91" s="142"/>
      <c r="F91" s="142"/>
      <c r="G91" s="142"/>
      <c r="H91" s="142"/>
      <c r="I91" s="142"/>
      <c r="J91" s="142"/>
      <c r="K91" s="142"/>
    </row>
    <row r="92" ht="15.75" customHeight="1">
      <c r="A92" s="120" t="s">
        <v>226</v>
      </c>
      <c r="I92" s="154"/>
      <c r="J92" s="154"/>
      <c r="K92" s="154"/>
    </row>
    <row r="93" ht="15.75" customHeight="1">
      <c r="A93" s="143"/>
      <c r="B93" s="142"/>
      <c r="C93" s="142"/>
      <c r="D93" s="142"/>
      <c r="E93" s="142"/>
      <c r="F93" s="142"/>
      <c r="G93" s="142"/>
      <c r="H93" s="142"/>
      <c r="I93" s="142"/>
      <c r="J93" s="142"/>
      <c r="K93" s="142"/>
    </row>
    <row r="94" ht="15.75" customHeight="1">
      <c r="A94" s="113" t="s">
        <v>174</v>
      </c>
      <c r="B94" s="114" t="s">
        <v>177</v>
      </c>
      <c r="C94" s="114" t="s">
        <v>178</v>
      </c>
      <c r="D94" s="114" t="s">
        <v>179</v>
      </c>
      <c r="E94" s="114" t="s">
        <v>180</v>
      </c>
      <c r="F94" s="114" t="s">
        <v>181</v>
      </c>
      <c r="G94" s="114" t="s">
        <v>182</v>
      </c>
      <c r="H94" s="114" t="s">
        <v>183</v>
      </c>
      <c r="I94" s="154"/>
      <c r="J94" s="154"/>
      <c r="K94" s="154"/>
    </row>
    <row r="95" ht="15.75" customHeight="1">
      <c r="A95" s="155" t="s">
        <v>227</v>
      </c>
      <c r="B95" s="156" t="str">
        <f>'6.Cons Profit &amp; Loss'!B47</f>
        <v>-747,418 </v>
      </c>
      <c r="C95" s="156" t="str">
        <f>'6.Cons Profit &amp; Loss'!C47</f>
        <v>8,519,294 </v>
      </c>
      <c r="D95" s="156" t="str">
        <f>'6.Cons Profit &amp; Loss'!D47</f>
        <v>13,103,659 </v>
      </c>
      <c r="E95" s="156" t="str">
        <f>'6.Cons Profit &amp; Loss'!E47</f>
        <v>18,122,419 </v>
      </c>
      <c r="F95" s="156" t="str">
        <f>'6.Cons Profit &amp; Loss'!F47</f>
        <v>23,607,550 </v>
      </c>
      <c r="G95" s="156" t="str">
        <f>'6.Cons Profit &amp; Loss'!G47</f>
        <v>29,264,535 </v>
      </c>
      <c r="H95" s="156" t="str">
        <f>'6.Cons Profit &amp; Loss'!H47</f>
        <v>35,411,608 </v>
      </c>
      <c r="I95" s="157"/>
      <c r="J95" s="157"/>
      <c r="K95" s="157"/>
    </row>
    <row r="96" ht="15.75" customHeight="1">
      <c r="A96" s="155" t="s">
        <v>228</v>
      </c>
      <c r="B96" s="156" t="str">
        <f>'6.Cons Profit &amp; Loss'!B40</f>
        <v>1,085,185 </v>
      </c>
      <c r="C96" s="156" t="str">
        <f>'6.Cons Profit &amp; Loss'!C40</f>
        <v>1,085,185 </v>
      </c>
      <c r="D96" s="156" t="str">
        <f>'6.Cons Profit &amp; Loss'!D40</f>
        <v>1,085,185 </v>
      </c>
      <c r="E96" s="156" t="str">
        <f>'6.Cons Profit &amp; Loss'!E40</f>
        <v>1,085,185 </v>
      </c>
      <c r="F96" s="156" t="str">
        <f>'6.Cons Profit &amp; Loss'!F40</f>
        <v>1,085,185 </v>
      </c>
      <c r="G96" s="156" t="str">
        <f>'6.Cons Profit &amp; Loss'!G40</f>
        <v>1,085,185 </v>
      </c>
      <c r="H96" s="156" t="str">
        <f>'6.Cons Profit &amp; Loss'!H40</f>
        <v>1,085,185 </v>
      </c>
      <c r="I96" s="157"/>
      <c r="J96" s="157"/>
      <c r="K96" s="157"/>
    </row>
    <row r="97" ht="15.75" customHeight="1">
      <c r="A97" s="155" t="s">
        <v>229</v>
      </c>
      <c r="B97" s="156" t="str">
        <f>'3.Other Exp &amp; Taxes'!K66</f>
        <v>3,093,123 </v>
      </c>
      <c r="C97" s="156" t="str">
        <f>'3.Other Exp &amp; Taxes'!L66</f>
        <v>2,663,388 </v>
      </c>
      <c r="D97" s="156" t="str">
        <f>'3.Other Exp &amp; Taxes'!M66</f>
        <v>2,313,681 </v>
      </c>
      <c r="E97" s="156" t="str">
        <f>'3.Other Exp &amp; Taxes'!N66</f>
        <v>2,022,846 </v>
      </c>
      <c r="F97" s="156" t="str">
        <f>'3.Other Exp &amp; Taxes'!O66</f>
        <v>1,776,851 </v>
      </c>
      <c r="G97" s="156" t="str">
        <f>'3.Other Exp &amp; Taxes'!P66</f>
        <v>1,566,115 </v>
      </c>
      <c r="H97" s="156" t="str">
        <f>'3.Other Exp &amp; Taxes'!Q66</f>
        <v>1,383,871 </v>
      </c>
      <c r="I97" s="157"/>
      <c r="J97" s="157"/>
      <c r="K97" s="157"/>
    </row>
    <row r="98" ht="15.75" customHeight="1">
      <c r="A98" s="155" t="s">
        <v>230</v>
      </c>
      <c r="B98" s="156" t="str">
        <f t="shared" ref="B98:H98" si="68">B95+B96-B97</f>
        <v>-2,755,356 </v>
      </c>
      <c r="C98" s="156" t="str">
        <f t="shared" si="68"/>
        <v>6,941,091 </v>
      </c>
      <c r="D98" s="156" t="str">
        <f t="shared" si="68"/>
        <v>11,875,163 </v>
      </c>
      <c r="E98" s="156" t="str">
        <f t="shared" si="68"/>
        <v>17,184,758 </v>
      </c>
      <c r="F98" s="156" t="str">
        <f t="shared" si="68"/>
        <v>22,915,884 </v>
      </c>
      <c r="G98" s="156" t="str">
        <f t="shared" si="68"/>
        <v>28,783,605 </v>
      </c>
      <c r="H98" s="156" t="str">
        <f t="shared" si="68"/>
        <v>35,112,922 </v>
      </c>
      <c r="I98" s="157"/>
      <c r="J98" s="157"/>
      <c r="K98" s="157"/>
    </row>
    <row r="99" ht="15.75" customHeight="1">
      <c r="A99" s="158" t="s">
        <v>231</v>
      </c>
      <c r="B99" s="159" t="str">
        <f t="shared" ref="B99:H99" si="69">B98*$B$102</f>
        <v>-688,839 </v>
      </c>
      <c r="C99" s="159" t="str">
        <f t="shared" si="69"/>
        <v>1,735,273 </v>
      </c>
      <c r="D99" s="159" t="str">
        <f t="shared" si="69"/>
        <v>2,968,791 </v>
      </c>
      <c r="E99" s="159" t="str">
        <f t="shared" si="69"/>
        <v>4,296,189 </v>
      </c>
      <c r="F99" s="159" t="str">
        <f t="shared" si="69"/>
        <v>5,728,971 </v>
      </c>
      <c r="G99" s="159" t="str">
        <f t="shared" si="69"/>
        <v>7,195,901 </v>
      </c>
      <c r="H99" s="159" t="str">
        <f t="shared" si="69"/>
        <v>8,778,230 </v>
      </c>
      <c r="I99" s="157"/>
      <c r="J99" s="157"/>
      <c r="K99" s="157"/>
    </row>
    <row r="100" ht="15.75" customHeight="1">
      <c r="A100" s="160"/>
      <c r="B100" s="142"/>
      <c r="C100" s="142"/>
      <c r="D100" s="142"/>
      <c r="E100" s="142"/>
      <c r="F100" s="142"/>
      <c r="G100" s="142"/>
      <c r="H100" s="142"/>
      <c r="I100" s="142"/>
      <c r="J100" s="142"/>
      <c r="K100" s="142"/>
    </row>
    <row r="101" ht="15.75" customHeight="1">
      <c r="A101" s="160"/>
      <c r="B101" s="147"/>
      <c r="C101" s="147"/>
      <c r="D101" s="147"/>
      <c r="E101" s="147"/>
      <c r="F101" s="147"/>
      <c r="G101" s="147"/>
      <c r="H101" s="147"/>
      <c r="I101" s="147"/>
      <c r="J101" s="147"/>
      <c r="K101" s="147"/>
    </row>
    <row r="102" ht="15.75" customHeight="1">
      <c r="A102" s="161" t="s">
        <v>232</v>
      </c>
      <c r="B102" s="162">
        <v>0.25</v>
      </c>
      <c r="C102" s="147"/>
      <c r="D102" s="147"/>
      <c r="E102" s="147"/>
      <c r="F102" s="147"/>
      <c r="G102" s="147"/>
      <c r="H102" s="147"/>
      <c r="I102" s="147"/>
      <c r="J102" s="147"/>
      <c r="K102" s="147"/>
    </row>
    <row r="103" ht="15.75" customHeight="1">
      <c r="A103" s="142"/>
      <c r="B103" s="142"/>
      <c r="C103" s="142"/>
      <c r="D103" s="142"/>
      <c r="E103" s="142"/>
      <c r="F103" s="142"/>
      <c r="G103" s="142"/>
      <c r="H103" s="142"/>
      <c r="I103" s="142"/>
      <c r="J103" s="142"/>
      <c r="K103" s="142"/>
    </row>
    <row r="104" ht="28.5" customHeight="1">
      <c r="A104" s="163" t="s">
        <v>233</v>
      </c>
      <c r="I104" s="147"/>
      <c r="J104" s="147"/>
      <c r="K104" s="147"/>
    </row>
  </sheetData>
  <mergeCells count="8">
    <mergeCell ref="A83:J83"/>
    <mergeCell ref="A92:H92"/>
    <mergeCell ref="A104:H104"/>
    <mergeCell ref="A2:K2"/>
    <mergeCell ref="A28:O28"/>
    <mergeCell ref="C31:I31"/>
    <mergeCell ref="K31:Q31"/>
    <mergeCell ref="A29:Q29"/>
  </mergeCells>
  <printOptions/>
  <pageMargins bottom="0.7480314960629921" footer="0.0" header="0.0" left="0.7086614173228347" right="0.7086614173228347" top="0.7480314960629921"/>
  <pageSetup paperSize="9" scale="47"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5.43"/>
    <col customWidth="1" min="3" max="3" width="28.14"/>
    <col customWidth="1" min="4" max="4" width="14.71"/>
    <col customWidth="1" min="5" max="5" width="25.86"/>
    <col customWidth="1" min="6" max="6" width="12.14"/>
    <col customWidth="1" min="7" max="7" width="27.29"/>
    <col customWidth="1" min="8" max="8" width="12.29"/>
    <col customWidth="1" min="9" max="9" width="11.71"/>
    <col customWidth="1" min="10" max="11" width="8.71"/>
  </cols>
  <sheetData>
    <row r="2">
      <c r="A2" s="26" t="s">
        <v>234</v>
      </c>
      <c r="G2" s="164"/>
    </row>
    <row r="3">
      <c r="B3" s="70"/>
      <c r="C3" s="70"/>
      <c r="D3" s="70"/>
      <c r="E3" s="70"/>
      <c r="F3" s="70"/>
      <c r="G3" s="70"/>
    </row>
    <row r="4">
      <c r="A4" s="110"/>
      <c r="B4" s="110"/>
      <c r="C4" s="110" t="s">
        <v>235</v>
      </c>
      <c r="D4" s="165" t="str">
        <f>'1.Project Cost and MOF'!E21</f>
        <v>  -   </v>
      </c>
      <c r="E4" s="110"/>
      <c r="F4" s="110"/>
      <c r="G4" s="110"/>
    </row>
    <row r="5">
      <c r="A5" s="110"/>
      <c r="B5" s="110"/>
      <c r="C5" s="110" t="s">
        <v>236</v>
      </c>
      <c r="D5" s="166">
        <v>0.12</v>
      </c>
      <c r="E5" s="110"/>
      <c r="F5" s="110"/>
      <c r="G5" s="110"/>
    </row>
    <row r="6">
      <c r="A6" s="110"/>
      <c r="B6" s="110"/>
      <c r="C6" s="110" t="s">
        <v>237</v>
      </c>
      <c r="D6" s="167">
        <v>4.0</v>
      </c>
      <c r="E6" s="110"/>
      <c r="F6" s="110"/>
      <c r="G6" s="110"/>
    </row>
    <row r="7">
      <c r="A7" s="110"/>
      <c r="B7" s="110"/>
      <c r="C7" s="110" t="s">
        <v>238</v>
      </c>
      <c r="D7" s="167">
        <v>18.0</v>
      </c>
      <c r="E7" s="110"/>
      <c r="F7" s="110"/>
      <c r="G7" s="110"/>
    </row>
    <row r="8">
      <c r="A8" s="110"/>
      <c r="B8" s="110"/>
      <c r="C8" s="110" t="s">
        <v>239</v>
      </c>
      <c r="D8" s="168" t="str">
        <f>PMT(D5/12,(D6-(D7/12))*12,-D4)</f>
        <v>Rs. 0.00</v>
      </c>
      <c r="E8" s="168"/>
      <c r="F8" s="169"/>
      <c r="G8" s="110"/>
    </row>
    <row r="9">
      <c r="A9" s="113" t="s">
        <v>240</v>
      </c>
      <c r="B9" s="170" t="s">
        <v>241</v>
      </c>
      <c r="C9" s="171" t="s">
        <v>242</v>
      </c>
      <c r="D9" s="171" t="s">
        <v>243</v>
      </c>
      <c r="E9" s="171" t="s">
        <v>244</v>
      </c>
      <c r="F9" s="171" t="s">
        <v>239</v>
      </c>
      <c r="G9" s="171" t="s">
        <v>245</v>
      </c>
    </row>
    <row r="10">
      <c r="A10" s="85" t="s">
        <v>246</v>
      </c>
      <c r="B10" s="85" t="s">
        <v>247</v>
      </c>
      <c r="C10" s="116" t="str">
        <f>D4</f>
        <v>  -   </v>
      </c>
      <c r="D10" s="116" t="str">
        <f t="shared" ref="D10:D93" si="1">C10*$D$5/12</f>
        <v>  -   </v>
      </c>
      <c r="E10" s="116" t="str">
        <f t="shared" ref="E10:E93" si="2">F10-D10</f>
        <v>  -   </v>
      </c>
      <c r="F10" s="116" t="str">
        <f t="shared" ref="F10:F15" si="3">D10</f>
        <v>  -   </v>
      </c>
      <c r="G10" s="116" t="str">
        <f t="shared" ref="G10:G93" si="4">C10-E10</f>
        <v>  -   </v>
      </c>
    </row>
    <row r="11">
      <c r="A11" s="85"/>
      <c r="B11" s="85" t="s">
        <v>248</v>
      </c>
      <c r="C11" s="116" t="str">
        <f t="shared" ref="C11:C93" si="5">G10</f>
        <v>  -   </v>
      </c>
      <c r="D11" s="116" t="str">
        <f t="shared" si="1"/>
        <v>  -   </v>
      </c>
      <c r="E11" s="116" t="str">
        <f t="shared" si="2"/>
        <v>  -   </v>
      </c>
      <c r="F11" s="116" t="str">
        <f t="shared" si="3"/>
        <v>  -   </v>
      </c>
      <c r="G11" s="116" t="str">
        <f t="shared" si="4"/>
        <v>  -   </v>
      </c>
    </row>
    <row r="12">
      <c r="A12" s="85"/>
      <c r="B12" s="85" t="s">
        <v>249</v>
      </c>
      <c r="C12" s="116" t="str">
        <f t="shared" si="5"/>
        <v>  -   </v>
      </c>
      <c r="D12" s="116" t="str">
        <f t="shared" si="1"/>
        <v>  -   </v>
      </c>
      <c r="E12" s="116" t="str">
        <f t="shared" si="2"/>
        <v>  -   </v>
      </c>
      <c r="F12" s="116" t="str">
        <f t="shared" si="3"/>
        <v>  -   </v>
      </c>
      <c r="G12" s="116" t="str">
        <f t="shared" si="4"/>
        <v>  -   </v>
      </c>
    </row>
    <row r="13">
      <c r="A13" s="85"/>
      <c r="B13" s="85" t="s">
        <v>250</v>
      </c>
      <c r="C13" s="116" t="str">
        <f t="shared" si="5"/>
        <v>  -   </v>
      </c>
      <c r="D13" s="116" t="str">
        <f t="shared" si="1"/>
        <v>  -   </v>
      </c>
      <c r="E13" s="116" t="str">
        <f t="shared" si="2"/>
        <v>  -   </v>
      </c>
      <c r="F13" s="116" t="str">
        <f t="shared" si="3"/>
        <v>  -   </v>
      </c>
      <c r="G13" s="116" t="str">
        <f t="shared" si="4"/>
        <v>  -   </v>
      </c>
    </row>
    <row r="14">
      <c r="A14" s="85"/>
      <c r="B14" s="85" t="s">
        <v>251</v>
      </c>
      <c r="C14" s="116" t="str">
        <f t="shared" si="5"/>
        <v>  -   </v>
      </c>
      <c r="D14" s="116" t="str">
        <f t="shared" si="1"/>
        <v>  -   </v>
      </c>
      <c r="E14" s="116" t="str">
        <f t="shared" si="2"/>
        <v>  -   </v>
      </c>
      <c r="F14" s="116" t="str">
        <f t="shared" si="3"/>
        <v>  -   </v>
      </c>
      <c r="G14" s="116" t="str">
        <f t="shared" si="4"/>
        <v>  -   </v>
      </c>
    </row>
    <row r="15">
      <c r="A15" s="85"/>
      <c r="B15" s="85" t="s">
        <v>252</v>
      </c>
      <c r="C15" s="116" t="str">
        <f t="shared" si="5"/>
        <v>  -   </v>
      </c>
      <c r="D15" s="116" t="str">
        <f t="shared" si="1"/>
        <v>  -   </v>
      </c>
      <c r="E15" s="116" t="str">
        <f t="shared" si="2"/>
        <v>  -   </v>
      </c>
      <c r="F15" s="116" t="str">
        <f t="shared" si="3"/>
        <v>  -   </v>
      </c>
      <c r="G15" s="116" t="str">
        <f t="shared" si="4"/>
        <v>  -   </v>
      </c>
    </row>
    <row r="16">
      <c r="A16" s="85"/>
      <c r="B16" s="85" t="s">
        <v>253</v>
      </c>
      <c r="C16" s="116" t="str">
        <f t="shared" si="5"/>
        <v>  -   </v>
      </c>
      <c r="D16" s="116" t="str">
        <f t="shared" si="1"/>
        <v>  -   </v>
      </c>
      <c r="E16" s="116" t="str">
        <f t="shared" si="2"/>
        <v>  -   </v>
      </c>
      <c r="F16" s="116" t="str">
        <f t="shared" ref="F16:F93" si="6">$D$8</f>
        <v>  -   </v>
      </c>
      <c r="G16" s="116" t="str">
        <f t="shared" si="4"/>
        <v>  -   </v>
      </c>
    </row>
    <row r="17">
      <c r="A17" s="85"/>
      <c r="B17" s="85" t="s">
        <v>254</v>
      </c>
      <c r="C17" s="116" t="str">
        <f t="shared" si="5"/>
        <v>  -   </v>
      </c>
      <c r="D17" s="116" t="str">
        <f t="shared" si="1"/>
        <v>  -   </v>
      </c>
      <c r="E17" s="116" t="str">
        <f t="shared" si="2"/>
        <v>  -   </v>
      </c>
      <c r="F17" s="116" t="str">
        <f t="shared" si="6"/>
        <v>  -   </v>
      </c>
      <c r="G17" s="116" t="str">
        <f t="shared" si="4"/>
        <v>  -   </v>
      </c>
    </row>
    <row r="18">
      <c r="A18" s="85"/>
      <c r="B18" s="85" t="s">
        <v>255</v>
      </c>
      <c r="C18" s="116" t="str">
        <f t="shared" si="5"/>
        <v>  -   </v>
      </c>
      <c r="D18" s="116" t="str">
        <f t="shared" si="1"/>
        <v>  -   </v>
      </c>
      <c r="E18" s="116" t="str">
        <f t="shared" si="2"/>
        <v>  -   </v>
      </c>
      <c r="F18" s="116" t="str">
        <f t="shared" si="6"/>
        <v>  -   </v>
      </c>
      <c r="G18" s="116" t="str">
        <f t="shared" si="4"/>
        <v>  -   </v>
      </c>
    </row>
    <row r="19">
      <c r="A19" s="85"/>
      <c r="B19" s="85" t="s">
        <v>256</v>
      </c>
      <c r="C19" s="116" t="str">
        <f t="shared" si="5"/>
        <v>  -   </v>
      </c>
      <c r="D19" s="116" t="str">
        <f t="shared" si="1"/>
        <v>  -   </v>
      </c>
      <c r="E19" s="116" t="str">
        <f t="shared" si="2"/>
        <v>  -   </v>
      </c>
      <c r="F19" s="116" t="str">
        <f t="shared" si="6"/>
        <v>  -   </v>
      </c>
      <c r="G19" s="116" t="str">
        <f t="shared" si="4"/>
        <v>  -   </v>
      </c>
    </row>
    <row r="20">
      <c r="A20" s="85"/>
      <c r="B20" s="85" t="s">
        <v>257</v>
      </c>
      <c r="C20" s="116" t="str">
        <f t="shared" si="5"/>
        <v>  -   </v>
      </c>
      <c r="D20" s="116" t="str">
        <f t="shared" si="1"/>
        <v>  -   </v>
      </c>
      <c r="E20" s="116" t="str">
        <f t="shared" si="2"/>
        <v>  -   </v>
      </c>
      <c r="F20" s="116" t="str">
        <f t="shared" si="6"/>
        <v>  -   </v>
      </c>
      <c r="G20" s="116" t="str">
        <f t="shared" si="4"/>
        <v>  -   </v>
      </c>
    </row>
    <row r="21" ht="15.75" customHeight="1">
      <c r="A21" s="85"/>
      <c r="B21" s="85" t="s">
        <v>258</v>
      </c>
      <c r="C21" s="116" t="str">
        <f t="shared" si="5"/>
        <v>  -   </v>
      </c>
      <c r="D21" s="116" t="str">
        <f t="shared" si="1"/>
        <v>  -   </v>
      </c>
      <c r="E21" s="116" t="str">
        <f t="shared" si="2"/>
        <v>  -   </v>
      </c>
      <c r="F21" s="116" t="str">
        <f t="shared" si="6"/>
        <v>  -   </v>
      </c>
      <c r="G21" s="116" t="str">
        <f t="shared" si="4"/>
        <v>  -   </v>
      </c>
      <c r="H21" s="172"/>
      <c r="I21" s="172"/>
    </row>
    <row r="22" ht="15.75" customHeight="1">
      <c r="A22" s="85" t="s">
        <v>259</v>
      </c>
      <c r="B22" s="85" t="s">
        <v>260</v>
      </c>
      <c r="C22" s="116" t="str">
        <f t="shared" si="5"/>
        <v>  -   </v>
      </c>
      <c r="D22" s="116" t="str">
        <f t="shared" si="1"/>
        <v>  -   </v>
      </c>
      <c r="E22" s="116" t="str">
        <f t="shared" si="2"/>
        <v>  -   </v>
      </c>
      <c r="F22" s="116" t="str">
        <f t="shared" si="6"/>
        <v>  -   </v>
      </c>
      <c r="G22" s="116" t="str">
        <f t="shared" si="4"/>
        <v>  -   </v>
      </c>
    </row>
    <row r="23" ht="15.75" customHeight="1">
      <c r="A23" s="85"/>
      <c r="B23" s="85" t="s">
        <v>261</v>
      </c>
      <c r="C23" s="116" t="str">
        <f t="shared" si="5"/>
        <v>  -   </v>
      </c>
      <c r="D23" s="116" t="str">
        <f t="shared" si="1"/>
        <v>  -   </v>
      </c>
      <c r="E23" s="116" t="str">
        <f t="shared" si="2"/>
        <v>  -   </v>
      </c>
      <c r="F23" s="116" t="str">
        <f t="shared" si="6"/>
        <v>  -   </v>
      </c>
      <c r="G23" s="116" t="str">
        <f t="shared" si="4"/>
        <v>  -   </v>
      </c>
    </row>
    <row r="24" ht="15.75" customHeight="1">
      <c r="A24" s="85"/>
      <c r="B24" s="85" t="s">
        <v>262</v>
      </c>
      <c r="C24" s="116" t="str">
        <f t="shared" si="5"/>
        <v>  -   </v>
      </c>
      <c r="D24" s="116" t="str">
        <f t="shared" si="1"/>
        <v>  -   </v>
      </c>
      <c r="E24" s="116" t="str">
        <f t="shared" si="2"/>
        <v>  -   </v>
      </c>
      <c r="F24" s="116" t="str">
        <f t="shared" si="6"/>
        <v>  -   </v>
      </c>
      <c r="G24" s="116" t="str">
        <f t="shared" si="4"/>
        <v>  -   </v>
      </c>
    </row>
    <row r="25" ht="15.75" customHeight="1">
      <c r="A25" s="85"/>
      <c r="B25" s="85" t="s">
        <v>263</v>
      </c>
      <c r="C25" s="116" t="str">
        <f t="shared" si="5"/>
        <v>  -   </v>
      </c>
      <c r="D25" s="116" t="str">
        <f t="shared" si="1"/>
        <v>  -   </v>
      </c>
      <c r="E25" s="116" t="str">
        <f t="shared" si="2"/>
        <v>  -   </v>
      </c>
      <c r="F25" s="116" t="str">
        <f t="shared" si="6"/>
        <v>  -   </v>
      </c>
      <c r="G25" s="116" t="str">
        <f t="shared" si="4"/>
        <v>  -   </v>
      </c>
    </row>
    <row r="26" ht="15.75" customHeight="1">
      <c r="A26" s="85"/>
      <c r="B26" s="85" t="s">
        <v>264</v>
      </c>
      <c r="C26" s="116" t="str">
        <f t="shared" si="5"/>
        <v>  -   </v>
      </c>
      <c r="D26" s="116" t="str">
        <f t="shared" si="1"/>
        <v>  -   </v>
      </c>
      <c r="E26" s="116" t="str">
        <f t="shared" si="2"/>
        <v>  -   </v>
      </c>
      <c r="F26" s="116" t="str">
        <f t="shared" si="6"/>
        <v>  -   </v>
      </c>
      <c r="G26" s="116" t="str">
        <f t="shared" si="4"/>
        <v>  -   </v>
      </c>
    </row>
    <row r="27" ht="15.75" customHeight="1">
      <c r="A27" s="85"/>
      <c r="B27" s="85" t="s">
        <v>265</v>
      </c>
      <c r="C27" s="116" t="str">
        <f t="shared" si="5"/>
        <v>  -   </v>
      </c>
      <c r="D27" s="116" t="str">
        <f t="shared" si="1"/>
        <v>  -   </v>
      </c>
      <c r="E27" s="116" t="str">
        <f t="shared" si="2"/>
        <v>  -   </v>
      </c>
      <c r="F27" s="116" t="str">
        <f t="shared" si="6"/>
        <v>  -   </v>
      </c>
      <c r="G27" s="116" t="str">
        <f t="shared" si="4"/>
        <v>  -   </v>
      </c>
    </row>
    <row r="28" ht="15.75" customHeight="1">
      <c r="A28" s="85"/>
      <c r="B28" s="85" t="s">
        <v>266</v>
      </c>
      <c r="C28" s="116" t="str">
        <f t="shared" si="5"/>
        <v>  -   </v>
      </c>
      <c r="D28" s="116" t="str">
        <f t="shared" si="1"/>
        <v>  -   </v>
      </c>
      <c r="E28" s="116" t="str">
        <f t="shared" si="2"/>
        <v>  -   </v>
      </c>
      <c r="F28" s="116" t="str">
        <f t="shared" si="6"/>
        <v>  -   </v>
      </c>
      <c r="G28" s="116" t="str">
        <f t="shared" si="4"/>
        <v>  -   </v>
      </c>
    </row>
    <row r="29" ht="15.75" customHeight="1">
      <c r="A29" s="85"/>
      <c r="B29" s="85" t="s">
        <v>267</v>
      </c>
      <c r="C29" s="116" t="str">
        <f t="shared" si="5"/>
        <v>  -   </v>
      </c>
      <c r="D29" s="116" t="str">
        <f t="shared" si="1"/>
        <v>  -   </v>
      </c>
      <c r="E29" s="116" t="str">
        <f t="shared" si="2"/>
        <v>  -   </v>
      </c>
      <c r="F29" s="116" t="str">
        <f t="shared" si="6"/>
        <v>  -   </v>
      </c>
      <c r="G29" s="116" t="str">
        <f t="shared" si="4"/>
        <v>  -   </v>
      </c>
    </row>
    <row r="30" ht="15.75" customHeight="1">
      <c r="A30" s="85"/>
      <c r="B30" s="85" t="s">
        <v>268</v>
      </c>
      <c r="C30" s="116" t="str">
        <f t="shared" si="5"/>
        <v>  -   </v>
      </c>
      <c r="D30" s="116" t="str">
        <f t="shared" si="1"/>
        <v>  -   </v>
      </c>
      <c r="E30" s="116" t="str">
        <f t="shared" si="2"/>
        <v>  -   </v>
      </c>
      <c r="F30" s="116" t="str">
        <f t="shared" si="6"/>
        <v>  -   </v>
      </c>
      <c r="G30" s="116" t="str">
        <f t="shared" si="4"/>
        <v>  -   </v>
      </c>
    </row>
    <row r="31" ht="15.75" customHeight="1">
      <c r="A31" s="85"/>
      <c r="B31" s="85" t="s">
        <v>269</v>
      </c>
      <c r="C31" s="116" t="str">
        <f t="shared" si="5"/>
        <v>  -   </v>
      </c>
      <c r="D31" s="116" t="str">
        <f t="shared" si="1"/>
        <v>  -   </v>
      </c>
      <c r="E31" s="116" t="str">
        <f t="shared" si="2"/>
        <v>  -   </v>
      </c>
      <c r="F31" s="116" t="str">
        <f t="shared" si="6"/>
        <v>  -   </v>
      </c>
      <c r="G31" s="116" t="str">
        <f t="shared" si="4"/>
        <v>  -   </v>
      </c>
    </row>
    <row r="32" ht="15.75" customHeight="1">
      <c r="A32" s="85"/>
      <c r="B32" s="85" t="s">
        <v>270</v>
      </c>
      <c r="C32" s="116" t="str">
        <f t="shared" si="5"/>
        <v>  -   </v>
      </c>
      <c r="D32" s="116" t="str">
        <f t="shared" si="1"/>
        <v>  -   </v>
      </c>
      <c r="E32" s="116" t="str">
        <f t="shared" si="2"/>
        <v>  -   </v>
      </c>
      <c r="F32" s="116" t="str">
        <f t="shared" si="6"/>
        <v>  -   </v>
      </c>
      <c r="G32" s="116" t="str">
        <f t="shared" si="4"/>
        <v>  -   </v>
      </c>
    </row>
    <row r="33" ht="15.75" customHeight="1">
      <c r="A33" s="85"/>
      <c r="B33" s="85" t="s">
        <v>271</v>
      </c>
      <c r="C33" s="116" t="str">
        <f t="shared" si="5"/>
        <v>  -   </v>
      </c>
      <c r="D33" s="116" t="str">
        <f t="shared" si="1"/>
        <v>  -   </v>
      </c>
      <c r="E33" s="116" t="str">
        <f t="shared" si="2"/>
        <v>  -   </v>
      </c>
      <c r="F33" s="116" t="str">
        <f t="shared" si="6"/>
        <v>  -   </v>
      </c>
      <c r="G33" s="116" t="str">
        <f t="shared" si="4"/>
        <v>  -   </v>
      </c>
      <c r="H33" s="172"/>
      <c r="I33" s="172"/>
    </row>
    <row r="34" ht="15.75" customHeight="1">
      <c r="A34" s="85" t="s">
        <v>272</v>
      </c>
      <c r="B34" s="85" t="s">
        <v>273</v>
      </c>
      <c r="C34" s="116" t="str">
        <f t="shared" si="5"/>
        <v>  -   </v>
      </c>
      <c r="D34" s="116" t="str">
        <f t="shared" si="1"/>
        <v>  -   </v>
      </c>
      <c r="E34" s="116" t="str">
        <f t="shared" si="2"/>
        <v>  -   </v>
      </c>
      <c r="F34" s="116" t="str">
        <f t="shared" si="6"/>
        <v>  -   </v>
      </c>
      <c r="G34" s="116" t="str">
        <f t="shared" si="4"/>
        <v>  -   </v>
      </c>
    </row>
    <row r="35" ht="15.75" customHeight="1">
      <c r="A35" s="85"/>
      <c r="B35" s="85" t="s">
        <v>274</v>
      </c>
      <c r="C35" s="116" t="str">
        <f t="shared" si="5"/>
        <v>  -   </v>
      </c>
      <c r="D35" s="116" t="str">
        <f t="shared" si="1"/>
        <v>  -   </v>
      </c>
      <c r="E35" s="116" t="str">
        <f t="shared" si="2"/>
        <v>  -   </v>
      </c>
      <c r="F35" s="116" t="str">
        <f t="shared" si="6"/>
        <v>  -   </v>
      </c>
      <c r="G35" s="116" t="str">
        <f t="shared" si="4"/>
        <v>  -   </v>
      </c>
    </row>
    <row r="36" ht="15.75" customHeight="1">
      <c r="A36" s="85"/>
      <c r="B36" s="85" t="s">
        <v>275</v>
      </c>
      <c r="C36" s="116" t="str">
        <f t="shared" si="5"/>
        <v>  -   </v>
      </c>
      <c r="D36" s="116" t="str">
        <f t="shared" si="1"/>
        <v>  -   </v>
      </c>
      <c r="E36" s="116" t="str">
        <f t="shared" si="2"/>
        <v>  -   </v>
      </c>
      <c r="F36" s="116" t="str">
        <f t="shared" si="6"/>
        <v>  -   </v>
      </c>
      <c r="G36" s="116" t="str">
        <f t="shared" si="4"/>
        <v>  -   </v>
      </c>
    </row>
    <row r="37" ht="15.75" customHeight="1">
      <c r="A37" s="85"/>
      <c r="B37" s="85" t="s">
        <v>276</v>
      </c>
      <c r="C37" s="116" t="str">
        <f t="shared" si="5"/>
        <v>  -   </v>
      </c>
      <c r="D37" s="116" t="str">
        <f t="shared" si="1"/>
        <v>  -   </v>
      </c>
      <c r="E37" s="116" t="str">
        <f t="shared" si="2"/>
        <v>  -   </v>
      </c>
      <c r="F37" s="116" t="str">
        <f t="shared" si="6"/>
        <v>  -   </v>
      </c>
      <c r="G37" s="116" t="str">
        <f t="shared" si="4"/>
        <v>  -   </v>
      </c>
    </row>
    <row r="38" ht="15.75" customHeight="1">
      <c r="A38" s="85"/>
      <c r="B38" s="85" t="s">
        <v>277</v>
      </c>
      <c r="C38" s="116" t="str">
        <f t="shared" si="5"/>
        <v>  -   </v>
      </c>
      <c r="D38" s="116" t="str">
        <f t="shared" si="1"/>
        <v>  -   </v>
      </c>
      <c r="E38" s="116" t="str">
        <f t="shared" si="2"/>
        <v>  -   </v>
      </c>
      <c r="F38" s="116" t="str">
        <f t="shared" si="6"/>
        <v>  -   </v>
      </c>
      <c r="G38" s="116" t="str">
        <f t="shared" si="4"/>
        <v>  -   </v>
      </c>
    </row>
    <row r="39" ht="15.75" customHeight="1">
      <c r="A39" s="85"/>
      <c r="B39" s="85" t="s">
        <v>278</v>
      </c>
      <c r="C39" s="116" t="str">
        <f t="shared" si="5"/>
        <v>  -   </v>
      </c>
      <c r="D39" s="116" t="str">
        <f t="shared" si="1"/>
        <v>  -   </v>
      </c>
      <c r="E39" s="116" t="str">
        <f t="shared" si="2"/>
        <v>  -   </v>
      </c>
      <c r="F39" s="116" t="str">
        <f t="shared" si="6"/>
        <v>  -   </v>
      </c>
      <c r="G39" s="116" t="str">
        <f t="shared" si="4"/>
        <v>  -   </v>
      </c>
    </row>
    <row r="40" ht="15.75" customHeight="1">
      <c r="A40" s="85"/>
      <c r="B40" s="85" t="s">
        <v>279</v>
      </c>
      <c r="C40" s="116" t="str">
        <f t="shared" si="5"/>
        <v>  -   </v>
      </c>
      <c r="D40" s="116" t="str">
        <f t="shared" si="1"/>
        <v>  -   </v>
      </c>
      <c r="E40" s="116" t="str">
        <f t="shared" si="2"/>
        <v>  -   </v>
      </c>
      <c r="F40" s="116" t="str">
        <f t="shared" si="6"/>
        <v>  -   </v>
      </c>
      <c r="G40" s="116" t="str">
        <f t="shared" si="4"/>
        <v>  -   </v>
      </c>
    </row>
    <row r="41" ht="15.75" customHeight="1">
      <c r="A41" s="85"/>
      <c r="B41" s="85" t="s">
        <v>280</v>
      </c>
      <c r="C41" s="116" t="str">
        <f t="shared" si="5"/>
        <v>  -   </v>
      </c>
      <c r="D41" s="116" t="str">
        <f t="shared" si="1"/>
        <v>  -   </v>
      </c>
      <c r="E41" s="116" t="str">
        <f t="shared" si="2"/>
        <v>  -   </v>
      </c>
      <c r="F41" s="116" t="str">
        <f t="shared" si="6"/>
        <v>  -   </v>
      </c>
      <c r="G41" s="116" t="str">
        <f t="shared" si="4"/>
        <v>  -   </v>
      </c>
    </row>
    <row r="42" ht="15.75" customHeight="1">
      <c r="A42" s="85"/>
      <c r="B42" s="85" t="s">
        <v>281</v>
      </c>
      <c r="C42" s="116" t="str">
        <f t="shared" si="5"/>
        <v>  -   </v>
      </c>
      <c r="D42" s="116" t="str">
        <f t="shared" si="1"/>
        <v>  -   </v>
      </c>
      <c r="E42" s="116" t="str">
        <f t="shared" si="2"/>
        <v>  -   </v>
      </c>
      <c r="F42" s="116" t="str">
        <f t="shared" si="6"/>
        <v>  -   </v>
      </c>
      <c r="G42" s="116" t="str">
        <f t="shared" si="4"/>
        <v>  -   </v>
      </c>
    </row>
    <row r="43" ht="15.75" customHeight="1">
      <c r="A43" s="85"/>
      <c r="B43" s="85" t="s">
        <v>282</v>
      </c>
      <c r="C43" s="116" t="str">
        <f t="shared" si="5"/>
        <v>  -   </v>
      </c>
      <c r="D43" s="116" t="str">
        <f t="shared" si="1"/>
        <v>  -   </v>
      </c>
      <c r="E43" s="116" t="str">
        <f t="shared" si="2"/>
        <v>  -   </v>
      </c>
      <c r="F43" s="116" t="str">
        <f t="shared" si="6"/>
        <v>  -   </v>
      </c>
      <c r="G43" s="116" t="str">
        <f t="shared" si="4"/>
        <v>  -   </v>
      </c>
    </row>
    <row r="44" ht="15.75" customHeight="1">
      <c r="A44" s="85"/>
      <c r="B44" s="85" t="s">
        <v>283</v>
      </c>
      <c r="C44" s="116" t="str">
        <f t="shared" si="5"/>
        <v>  -   </v>
      </c>
      <c r="D44" s="116" t="str">
        <f t="shared" si="1"/>
        <v>  -   </v>
      </c>
      <c r="E44" s="116" t="str">
        <f t="shared" si="2"/>
        <v>  -   </v>
      </c>
      <c r="F44" s="116" t="str">
        <f t="shared" si="6"/>
        <v>  -   </v>
      </c>
      <c r="G44" s="116" t="str">
        <f t="shared" si="4"/>
        <v>  -   </v>
      </c>
    </row>
    <row r="45" ht="15.75" customHeight="1">
      <c r="A45" s="85"/>
      <c r="B45" s="85" t="s">
        <v>284</v>
      </c>
      <c r="C45" s="116" t="str">
        <f t="shared" si="5"/>
        <v>  -   </v>
      </c>
      <c r="D45" s="116" t="str">
        <f t="shared" si="1"/>
        <v>  -   </v>
      </c>
      <c r="E45" s="116" t="str">
        <f t="shared" si="2"/>
        <v>  -   </v>
      </c>
      <c r="F45" s="116" t="str">
        <f t="shared" si="6"/>
        <v>  -   </v>
      </c>
      <c r="G45" s="116" t="str">
        <f t="shared" si="4"/>
        <v>  -   </v>
      </c>
      <c r="H45" s="172"/>
      <c r="I45" s="172"/>
    </row>
    <row r="46" ht="15.75" customHeight="1">
      <c r="A46" s="85" t="s">
        <v>285</v>
      </c>
      <c r="B46" s="85" t="s">
        <v>286</v>
      </c>
      <c r="C46" s="116" t="str">
        <f t="shared" si="5"/>
        <v>  -   </v>
      </c>
      <c r="D46" s="116" t="str">
        <f t="shared" si="1"/>
        <v>  -   </v>
      </c>
      <c r="E46" s="116" t="str">
        <f t="shared" si="2"/>
        <v>  -   </v>
      </c>
      <c r="F46" s="116" t="str">
        <f t="shared" si="6"/>
        <v>  -   </v>
      </c>
      <c r="G46" s="116" t="str">
        <f t="shared" si="4"/>
        <v>  -   </v>
      </c>
    </row>
    <row r="47" ht="15.75" customHeight="1">
      <c r="A47" s="85"/>
      <c r="B47" s="85" t="s">
        <v>287</v>
      </c>
      <c r="C47" s="116" t="str">
        <f t="shared" si="5"/>
        <v>  -   </v>
      </c>
      <c r="D47" s="116" t="str">
        <f t="shared" si="1"/>
        <v>  -   </v>
      </c>
      <c r="E47" s="116" t="str">
        <f t="shared" si="2"/>
        <v>  -   </v>
      </c>
      <c r="F47" s="116" t="str">
        <f t="shared" si="6"/>
        <v>  -   </v>
      </c>
      <c r="G47" s="116" t="str">
        <f t="shared" si="4"/>
        <v>  -   </v>
      </c>
    </row>
    <row r="48" ht="15.75" customHeight="1">
      <c r="A48" s="85"/>
      <c r="B48" s="85" t="s">
        <v>288</v>
      </c>
      <c r="C48" s="116" t="str">
        <f t="shared" si="5"/>
        <v>  -   </v>
      </c>
      <c r="D48" s="116" t="str">
        <f t="shared" si="1"/>
        <v>  -   </v>
      </c>
      <c r="E48" s="116" t="str">
        <f t="shared" si="2"/>
        <v>  -   </v>
      </c>
      <c r="F48" s="116" t="str">
        <f t="shared" si="6"/>
        <v>  -   </v>
      </c>
      <c r="G48" s="116" t="str">
        <f t="shared" si="4"/>
        <v>  -   </v>
      </c>
    </row>
    <row r="49" ht="15.75" customHeight="1">
      <c r="A49" s="85"/>
      <c r="B49" s="85" t="s">
        <v>289</v>
      </c>
      <c r="C49" s="116" t="str">
        <f t="shared" si="5"/>
        <v>  -   </v>
      </c>
      <c r="D49" s="116" t="str">
        <f t="shared" si="1"/>
        <v>  -   </v>
      </c>
      <c r="E49" s="116" t="str">
        <f t="shared" si="2"/>
        <v>  -   </v>
      </c>
      <c r="F49" s="116" t="str">
        <f t="shared" si="6"/>
        <v>  -   </v>
      </c>
      <c r="G49" s="116" t="str">
        <f t="shared" si="4"/>
        <v>  -   </v>
      </c>
    </row>
    <row r="50" ht="15.75" customHeight="1">
      <c r="A50" s="85"/>
      <c r="B50" s="85" t="s">
        <v>290</v>
      </c>
      <c r="C50" s="116" t="str">
        <f t="shared" si="5"/>
        <v>  -   </v>
      </c>
      <c r="D50" s="116" t="str">
        <f t="shared" si="1"/>
        <v>  -   </v>
      </c>
      <c r="E50" s="116" t="str">
        <f t="shared" si="2"/>
        <v>  -   </v>
      </c>
      <c r="F50" s="116" t="str">
        <f t="shared" si="6"/>
        <v>  -   </v>
      </c>
      <c r="G50" s="116" t="str">
        <f t="shared" si="4"/>
        <v>  -   </v>
      </c>
    </row>
    <row r="51" ht="15.75" customHeight="1">
      <c r="A51" s="85"/>
      <c r="B51" s="85" t="s">
        <v>291</v>
      </c>
      <c r="C51" s="116" t="str">
        <f t="shared" si="5"/>
        <v>  -   </v>
      </c>
      <c r="D51" s="116" t="str">
        <f t="shared" si="1"/>
        <v>  -   </v>
      </c>
      <c r="E51" s="116" t="str">
        <f t="shared" si="2"/>
        <v>  -   </v>
      </c>
      <c r="F51" s="116" t="str">
        <f t="shared" si="6"/>
        <v>  -   </v>
      </c>
      <c r="G51" s="116" t="str">
        <f t="shared" si="4"/>
        <v>  -   </v>
      </c>
    </row>
    <row r="52" ht="15.75" customHeight="1">
      <c r="A52" s="85"/>
      <c r="B52" s="85" t="s">
        <v>292</v>
      </c>
      <c r="C52" s="116" t="str">
        <f t="shared" si="5"/>
        <v>  -   </v>
      </c>
      <c r="D52" s="116" t="str">
        <f t="shared" si="1"/>
        <v>  -   </v>
      </c>
      <c r="E52" s="116" t="str">
        <f t="shared" si="2"/>
        <v>  -   </v>
      </c>
      <c r="F52" s="116" t="str">
        <f t="shared" si="6"/>
        <v>  -   </v>
      </c>
      <c r="G52" s="116" t="str">
        <f t="shared" si="4"/>
        <v>  -   </v>
      </c>
    </row>
    <row r="53" ht="15.75" customHeight="1">
      <c r="A53" s="85"/>
      <c r="B53" s="85" t="s">
        <v>293</v>
      </c>
      <c r="C53" s="116" t="str">
        <f t="shared" si="5"/>
        <v>  -   </v>
      </c>
      <c r="D53" s="116" t="str">
        <f t="shared" si="1"/>
        <v>  -   </v>
      </c>
      <c r="E53" s="116" t="str">
        <f t="shared" si="2"/>
        <v>  -   </v>
      </c>
      <c r="F53" s="116" t="str">
        <f t="shared" si="6"/>
        <v>  -   </v>
      </c>
      <c r="G53" s="116" t="str">
        <f t="shared" si="4"/>
        <v>  -   </v>
      </c>
    </row>
    <row r="54" ht="15.75" customHeight="1">
      <c r="A54" s="85"/>
      <c r="B54" s="85" t="s">
        <v>294</v>
      </c>
      <c r="C54" s="116" t="str">
        <f t="shared" si="5"/>
        <v>  -   </v>
      </c>
      <c r="D54" s="116" t="str">
        <f t="shared" si="1"/>
        <v>  -   </v>
      </c>
      <c r="E54" s="116" t="str">
        <f t="shared" si="2"/>
        <v>  -   </v>
      </c>
      <c r="F54" s="116" t="str">
        <f t="shared" si="6"/>
        <v>  -   </v>
      </c>
      <c r="G54" s="116" t="str">
        <f t="shared" si="4"/>
        <v>  -   </v>
      </c>
    </row>
    <row r="55" ht="15.75" customHeight="1">
      <c r="A55" s="85"/>
      <c r="B55" s="85" t="s">
        <v>295</v>
      </c>
      <c r="C55" s="116" t="str">
        <f t="shared" si="5"/>
        <v>  -   </v>
      </c>
      <c r="D55" s="116" t="str">
        <f t="shared" si="1"/>
        <v>  -   </v>
      </c>
      <c r="E55" s="116" t="str">
        <f t="shared" si="2"/>
        <v>  -   </v>
      </c>
      <c r="F55" s="116" t="str">
        <f t="shared" si="6"/>
        <v>  -   </v>
      </c>
      <c r="G55" s="116" t="str">
        <f t="shared" si="4"/>
        <v>  -   </v>
      </c>
    </row>
    <row r="56" ht="15.75" customHeight="1">
      <c r="A56" s="85"/>
      <c r="B56" s="85" t="s">
        <v>296</v>
      </c>
      <c r="C56" s="116" t="str">
        <f t="shared" si="5"/>
        <v>  -   </v>
      </c>
      <c r="D56" s="116" t="str">
        <f t="shared" si="1"/>
        <v>  -   </v>
      </c>
      <c r="E56" s="116" t="str">
        <f t="shared" si="2"/>
        <v>  -   </v>
      </c>
      <c r="F56" s="116" t="str">
        <f t="shared" si="6"/>
        <v>  -   </v>
      </c>
      <c r="G56" s="116" t="str">
        <f t="shared" si="4"/>
        <v>  -   </v>
      </c>
    </row>
    <row r="57" ht="15.75" customHeight="1">
      <c r="A57" s="85"/>
      <c r="B57" s="85" t="s">
        <v>297</v>
      </c>
      <c r="C57" s="116" t="str">
        <f t="shared" si="5"/>
        <v>  -   </v>
      </c>
      <c r="D57" s="116" t="str">
        <f t="shared" si="1"/>
        <v>  -   </v>
      </c>
      <c r="E57" s="116" t="str">
        <f t="shared" si="2"/>
        <v>  -   </v>
      </c>
      <c r="F57" s="116" t="str">
        <f t="shared" si="6"/>
        <v>  -   </v>
      </c>
      <c r="G57" s="116" t="str">
        <f t="shared" si="4"/>
        <v>  -   </v>
      </c>
      <c r="H57" s="172"/>
      <c r="I57" s="172"/>
    </row>
    <row r="58" ht="15.75" customHeight="1">
      <c r="A58" s="85" t="s">
        <v>298</v>
      </c>
      <c r="B58" s="85" t="s">
        <v>299</v>
      </c>
      <c r="C58" s="116" t="str">
        <f t="shared" si="5"/>
        <v>  -   </v>
      </c>
      <c r="D58" s="116" t="str">
        <f t="shared" si="1"/>
        <v>  -   </v>
      </c>
      <c r="E58" s="116" t="str">
        <f t="shared" si="2"/>
        <v>  -   </v>
      </c>
      <c r="F58" s="116" t="str">
        <f t="shared" si="6"/>
        <v>  -   </v>
      </c>
      <c r="G58" s="116" t="str">
        <f t="shared" si="4"/>
        <v>  -   </v>
      </c>
    </row>
    <row r="59" ht="15.75" customHeight="1">
      <c r="A59" s="85"/>
      <c r="B59" s="85" t="s">
        <v>300</v>
      </c>
      <c r="C59" s="116" t="str">
        <f t="shared" si="5"/>
        <v>  -   </v>
      </c>
      <c r="D59" s="116" t="str">
        <f t="shared" si="1"/>
        <v>  -   </v>
      </c>
      <c r="E59" s="116" t="str">
        <f t="shared" si="2"/>
        <v>  -   </v>
      </c>
      <c r="F59" s="116" t="str">
        <f t="shared" si="6"/>
        <v>  -   </v>
      </c>
      <c r="G59" s="116" t="str">
        <f t="shared" si="4"/>
        <v>  -   </v>
      </c>
    </row>
    <row r="60" ht="15.75" customHeight="1">
      <c r="A60" s="85"/>
      <c r="B60" s="85" t="s">
        <v>301</v>
      </c>
      <c r="C60" s="116" t="str">
        <f t="shared" si="5"/>
        <v>  -   </v>
      </c>
      <c r="D60" s="116" t="str">
        <f t="shared" si="1"/>
        <v>  -   </v>
      </c>
      <c r="E60" s="116" t="str">
        <f t="shared" si="2"/>
        <v>  -   </v>
      </c>
      <c r="F60" s="116" t="str">
        <f t="shared" si="6"/>
        <v>  -   </v>
      </c>
      <c r="G60" s="116" t="str">
        <f t="shared" si="4"/>
        <v>  -   </v>
      </c>
    </row>
    <row r="61" ht="15.75" customHeight="1">
      <c r="A61" s="85"/>
      <c r="B61" s="85" t="s">
        <v>302</v>
      </c>
      <c r="C61" s="116" t="str">
        <f t="shared" si="5"/>
        <v>  -   </v>
      </c>
      <c r="D61" s="116" t="str">
        <f t="shared" si="1"/>
        <v>  -   </v>
      </c>
      <c r="E61" s="116" t="str">
        <f t="shared" si="2"/>
        <v>  -   </v>
      </c>
      <c r="F61" s="116" t="str">
        <f t="shared" si="6"/>
        <v>  -   </v>
      </c>
      <c r="G61" s="116" t="str">
        <f t="shared" si="4"/>
        <v>  -   </v>
      </c>
    </row>
    <row r="62" ht="15.75" customHeight="1">
      <c r="A62" s="85"/>
      <c r="B62" s="85" t="s">
        <v>303</v>
      </c>
      <c r="C62" s="116" t="str">
        <f t="shared" si="5"/>
        <v>  -   </v>
      </c>
      <c r="D62" s="116" t="str">
        <f t="shared" si="1"/>
        <v>  -   </v>
      </c>
      <c r="E62" s="116" t="str">
        <f t="shared" si="2"/>
        <v>  -   </v>
      </c>
      <c r="F62" s="116" t="str">
        <f t="shared" si="6"/>
        <v>  -   </v>
      </c>
      <c r="G62" s="116" t="str">
        <f t="shared" si="4"/>
        <v>  -   </v>
      </c>
    </row>
    <row r="63" ht="15.75" customHeight="1">
      <c r="A63" s="85"/>
      <c r="B63" s="85" t="s">
        <v>304</v>
      </c>
      <c r="C63" s="116" t="str">
        <f t="shared" si="5"/>
        <v>  -   </v>
      </c>
      <c r="D63" s="116" t="str">
        <f t="shared" si="1"/>
        <v>  -   </v>
      </c>
      <c r="E63" s="116" t="str">
        <f t="shared" si="2"/>
        <v>  -   </v>
      </c>
      <c r="F63" s="116" t="str">
        <f t="shared" si="6"/>
        <v>  -   </v>
      </c>
      <c r="G63" s="116" t="str">
        <f t="shared" si="4"/>
        <v>  -   </v>
      </c>
    </row>
    <row r="64" ht="15.75" customHeight="1">
      <c r="A64" s="85"/>
      <c r="B64" s="85" t="s">
        <v>305</v>
      </c>
      <c r="C64" s="116" t="str">
        <f t="shared" si="5"/>
        <v>  -   </v>
      </c>
      <c r="D64" s="116" t="str">
        <f t="shared" si="1"/>
        <v>  -   </v>
      </c>
      <c r="E64" s="116" t="str">
        <f t="shared" si="2"/>
        <v>  -   </v>
      </c>
      <c r="F64" s="116" t="str">
        <f t="shared" si="6"/>
        <v>  -   </v>
      </c>
      <c r="G64" s="116" t="str">
        <f t="shared" si="4"/>
        <v>  -   </v>
      </c>
    </row>
    <row r="65" ht="15.75" customHeight="1">
      <c r="A65" s="85"/>
      <c r="B65" s="85" t="s">
        <v>306</v>
      </c>
      <c r="C65" s="116" t="str">
        <f t="shared" si="5"/>
        <v>  -   </v>
      </c>
      <c r="D65" s="116" t="str">
        <f t="shared" si="1"/>
        <v>  -   </v>
      </c>
      <c r="E65" s="116" t="str">
        <f t="shared" si="2"/>
        <v>  -   </v>
      </c>
      <c r="F65" s="116" t="str">
        <f t="shared" si="6"/>
        <v>  -   </v>
      </c>
      <c r="G65" s="116" t="str">
        <f t="shared" si="4"/>
        <v>  -   </v>
      </c>
    </row>
    <row r="66" ht="15.75" customHeight="1">
      <c r="A66" s="85"/>
      <c r="B66" s="85" t="s">
        <v>307</v>
      </c>
      <c r="C66" s="116" t="str">
        <f t="shared" si="5"/>
        <v>  -   </v>
      </c>
      <c r="D66" s="116" t="str">
        <f t="shared" si="1"/>
        <v>  -   </v>
      </c>
      <c r="E66" s="116" t="str">
        <f t="shared" si="2"/>
        <v>  -   </v>
      </c>
      <c r="F66" s="116" t="str">
        <f t="shared" si="6"/>
        <v>  -   </v>
      </c>
      <c r="G66" s="116" t="str">
        <f t="shared" si="4"/>
        <v>  -   </v>
      </c>
    </row>
    <row r="67" ht="15.75" customHeight="1">
      <c r="A67" s="85"/>
      <c r="B67" s="85" t="s">
        <v>308</v>
      </c>
      <c r="C67" s="116" t="str">
        <f t="shared" si="5"/>
        <v>  -   </v>
      </c>
      <c r="D67" s="116" t="str">
        <f t="shared" si="1"/>
        <v>  -   </v>
      </c>
      <c r="E67" s="116" t="str">
        <f t="shared" si="2"/>
        <v>  -   </v>
      </c>
      <c r="F67" s="116" t="str">
        <f t="shared" si="6"/>
        <v>  -   </v>
      </c>
      <c r="G67" s="116" t="str">
        <f t="shared" si="4"/>
        <v>  -   </v>
      </c>
    </row>
    <row r="68" ht="15.75" customHeight="1">
      <c r="A68" s="85"/>
      <c r="B68" s="85" t="s">
        <v>309</v>
      </c>
      <c r="C68" s="116" t="str">
        <f t="shared" si="5"/>
        <v>  -   </v>
      </c>
      <c r="D68" s="116" t="str">
        <f t="shared" si="1"/>
        <v>  -   </v>
      </c>
      <c r="E68" s="116" t="str">
        <f t="shared" si="2"/>
        <v>  -   </v>
      </c>
      <c r="F68" s="116" t="str">
        <f t="shared" si="6"/>
        <v>  -   </v>
      </c>
      <c r="G68" s="116" t="str">
        <f t="shared" si="4"/>
        <v>  -   </v>
      </c>
    </row>
    <row r="69" ht="15.75" customHeight="1">
      <c r="A69" s="85"/>
      <c r="B69" s="85" t="s">
        <v>310</v>
      </c>
      <c r="C69" s="116" t="str">
        <f t="shared" si="5"/>
        <v>  -   </v>
      </c>
      <c r="D69" s="116" t="str">
        <f t="shared" si="1"/>
        <v>  -   </v>
      </c>
      <c r="E69" s="116" t="str">
        <f t="shared" si="2"/>
        <v>  -   </v>
      </c>
      <c r="F69" s="116" t="str">
        <f t="shared" si="6"/>
        <v>  -   </v>
      </c>
      <c r="G69" s="116" t="str">
        <f t="shared" si="4"/>
        <v>  -   </v>
      </c>
      <c r="H69" s="172"/>
      <c r="I69" s="172"/>
    </row>
    <row r="70" ht="15.75" customHeight="1">
      <c r="A70" s="85" t="s">
        <v>311</v>
      </c>
      <c r="B70" s="85" t="s">
        <v>312</v>
      </c>
      <c r="C70" s="116" t="str">
        <f t="shared" si="5"/>
        <v>  -   </v>
      </c>
      <c r="D70" s="116" t="str">
        <f t="shared" si="1"/>
        <v>  -   </v>
      </c>
      <c r="E70" s="116" t="str">
        <f t="shared" si="2"/>
        <v>  -   </v>
      </c>
      <c r="F70" s="116" t="str">
        <f t="shared" si="6"/>
        <v>  -   </v>
      </c>
      <c r="G70" s="116" t="str">
        <f t="shared" si="4"/>
        <v>  -   </v>
      </c>
    </row>
    <row r="71" ht="15.75" customHeight="1">
      <c r="A71" s="85"/>
      <c r="B71" s="85" t="s">
        <v>313</v>
      </c>
      <c r="C71" s="116" t="str">
        <f t="shared" si="5"/>
        <v>  -   </v>
      </c>
      <c r="D71" s="116" t="str">
        <f t="shared" si="1"/>
        <v>  -   </v>
      </c>
      <c r="E71" s="116" t="str">
        <f t="shared" si="2"/>
        <v>  -   </v>
      </c>
      <c r="F71" s="116" t="str">
        <f t="shared" si="6"/>
        <v>  -   </v>
      </c>
      <c r="G71" s="116" t="str">
        <f t="shared" si="4"/>
        <v>  -   </v>
      </c>
    </row>
    <row r="72" ht="15.75" customHeight="1">
      <c r="A72" s="85"/>
      <c r="B72" s="85" t="s">
        <v>314</v>
      </c>
      <c r="C72" s="116" t="str">
        <f t="shared" si="5"/>
        <v>  -   </v>
      </c>
      <c r="D72" s="116" t="str">
        <f t="shared" si="1"/>
        <v>  -   </v>
      </c>
      <c r="E72" s="116" t="str">
        <f t="shared" si="2"/>
        <v>  -   </v>
      </c>
      <c r="F72" s="116" t="str">
        <f t="shared" si="6"/>
        <v>  -   </v>
      </c>
      <c r="G72" s="116" t="str">
        <f t="shared" si="4"/>
        <v>  -   </v>
      </c>
    </row>
    <row r="73" ht="15.75" customHeight="1">
      <c r="A73" s="85"/>
      <c r="B73" s="85" t="s">
        <v>315</v>
      </c>
      <c r="C73" s="116" t="str">
        <f t="shared" si="5"/>
        <v>  -   </v>
      </c>
      <c r="D73" s="116" t="str">
        <f t="shared" si="1"/>
        <v>  -   </v>
      </c>
      <c r="E73" s="116" t="str">
        <f t="shared" si="2"/>
        <v>  -   </v>
      </c>
      <c r="F73" s="116" t="str">
        <f t="shared" si="6"/>
        <v>  -   </v>
      </c>
      <c r="G73" s="116" t="str">
        <f t="shared" si="4"/>
        <v>  -   </v>
      </c>
    </row>
    <row r="74" ht="15.75" customHeight="1">
      <c r="A74" s="85"/>
      <c r="B74" s="85" t="s">
        <v>316</v>
      </c>
      <c r="C74" s="116" t="str">
        <f t="shared" si="5"/>
        <v>  -   </v>
      </c>
      <c r="D74" s="116" t="str">
        <f t="shared" si="1"/>
        <v>  -   </v>
      </c>
      <c r="E74" s="116" t="str">
        <f t="shared" si="2"/>
        <v>  -   </v>
      </c>
      <c r="F74" s="116" t="str">
        <f t="shared" si="6"/>
        <v>  -   </v>
      </c>
      <c r="G74" s="116" t="str">
        <f t="shared" si="4"/>
        <v>  -   </v>
      </c>
    </row>
    <row r="75" ht="15.75" customHeight="1">
      <c r="A75" s="85"/>
      <c r="B75" s="85" t="s">
        <v>317</v>
      </c>
      <c r="C75" s="116" t="str">
        <f t="shared" si="5"/>
        <v>  -   </v>
      </c>
      <c r="D75" s="116" t="str">
        <f t="shared" si="1"/>
        <v>  -   </v>
      </c>
      <c r="E75" s="116" t="str">
        <f t="shared" si="2"/>
        <v>  -   </v>
      </c>
      <c r="F75" s="116" t="str">
        <f t="shared" si="6"/>
        <v>  -   </v>
      </c>
      <c r="G75" s="116" t="str">
        <f t="shared" si="4"/>
        <v>  -   </v>
      </c>
    </row>
    <row r="76" ht="15.75" customHeight="1">
      <c r="A76" s="85"/>
      <c r="B76" s="85" t="s">
        <v>318</v>
      </c>
      <c r="C76" s="116" t="str">
        <f t="shared" si="5"/>
        <v>  -   </v>
      </c>
      <c r="D76" s="116" t="str">
        <f t="shared" si="1"/>
        <v>  -   </v>
      </c>
      <c r="E76" s="116" t="str">
        <f t="shared" si="2"/>
        <v>  -   </v>
      </c>
      <c r="F76" s="116" t="str">
        <f t="shared" si="6"/>
        <v>  -   </v>
      </c>
      <c r="G76" s="116" t="str">
        <f t="shared" si="4"/>
        <v>  -   </v>
      </c>
    </row>
    <row r="77" ht="15.75" customHeight="1">
      <c r="A77" s="85"/>
      <c r="B77" s="85" t="s">
        <v>319</v>
      </c>
      <c r="C77" s="116" t="str">
        <f t="shared" si="5"/>
        <v>  -   </v>
      </c>
      <c r="D77" s="116" t="str">
        <f t="shared" si="1"/>
        <v>  -   </v>
      </c>
      <c r="E77" s="116" t="str">
        <f t="shared" si="2"/>
        <v>  -   </v>
      </c>
      <c r="F77" s="116" t="str">
        <f t="shared" si="6"/>
        <v>  -   </v>
      </c>
      <c r="G77" s="116" t="str">
        <f t="shared" si="4"/>
        <v>  -   </v>
      </c>
    </row>
    <row r="78" ht="15.75" customHeight="1">
      <c r="A78" s="85"/>
      <c r="B78" s="85" t="s">
        <v>320</v>
      </c>
      <c r="C78" s="116" t="str">
        <f t="shared" si="5"/>
        <v>  -   </v>
      </c>
      <c r="D78" s="116" t="str">
        <f t="shared" si="1"/>
        <v>  -   </v>
      </c>
      <c r="E78" s="116" t="str">
        <f t="shared" si="2"/>
        <v>  -   </v>
      </c>
      <c r="F78" s="116" t="str">
        <f t="shared" si="6"/>
        <v>  -   </v>
      </c>
      <c r="G78" s="116" t="str">
        <f t="shared" si="4"/>
        <v>  -   </v>
      </c>
    </row>
    <row r="79" ht="15.75" customHeight="1">
      <c r="A79" s="85"/>
      <c r="B79" s="85" t="s">
        <v>321</v>
      </c>
      <c r="C79" s="116" t="str">
        <f t="shared" si="5"/>
        <v>  -   </v>
      </c>
      <c r="D79" s="116" t="str">
        <f t="shared" si="1"/>
        <v>  -   </v>
      </c>
      <c r="E79" s="116" t="str">
        <f t="shared" si="2"/>
        <v>  -   </v>
      </c>
      <c r="F79" s="116" t="str">
        <f t="shared" si="6"/>
        <v>  -   </v>
      </c>
      <c r="G79" s="116" t="str">
        <f t="shared" si="4"/>
        <v>  -   </v>
      </c>
    </row>
    <row r="80" ht="15.75" customHeight="1">
      <c r="A80" s="85"/>
      <c r="B80" s="85" t="s">
        <v>322</v>
      </c>
      <c r="C80" s="116" t="str">
        <f t="shared" si="5"/>
        <v>  -   </v>
      </c>
      <c r="D80" s="116" t="str">
        <f t="shared" si="1"/>
        <v>  -   </v>
      </c>
      <c r="E80" s="116" t="str">
        <f t="shared" si="2"/>
        <v>  -   </v>
      </c>
      <c r="F80" s="116" t="str">
        <f t="shared" si="6"/>
        <v>  -   </v>
      </c>
      <c r="G80" s="116" t="str">
        <f t="shared" si="4"/>
        <v>  -   </v>
      </c>
    </row>
    <row r="81" ht="15.75" customHeight="1">
      <c r="A81" s="85"/>
      <c r="B81" s="85" t="s">
        <v>323</v>
      </c>
      <c r="C81" s="116" t="str">
        <f t="shared" si="5"/>
        <v>  -   </v>
      </c>
      <c r="D81" s="116" t="str">
        <f t="shared" si="1"/>
        <v>  -   </v>
      </c>
      <c r="E81" s="116" t="str">
        <f t="shared" si="2"/>
        <v>  -   </v>
      </c>
      <c r="F81" s="116" t="str">
        <f t="shared" si="6"/>
        <v>  -   </v>
      </c>
      <c r="G81" s="116" t="str">
        <f t="shared" si="4"/>
        <v>  -   </v>
      </c>
      <c r="H81" s="172"/>
      <c r="I81" s="172"/>
    </row>
    <row r="82" ht="15.75" customHeight="1">
      <c r="A82" s="85" t="s">
        <v>324</v>
      </c>
      <c r="B82" s="85" t="s">
        <v>325</v>
      </c>
      <c r="C82" s="116" t="str">
        <f t="shared" si="5"/>
        <v>  -   </v>
      </c>
      <c r="D82" s="116" t="str">
        <f t="shared" si="1"/>
        <v>  -   </v>
      </c>
      <c r="E82" s="116" t="str">
        <f t="shared" si="2"/>
        <v>  -   </v>
      </c>
      <c r="F82" s="116" t="str">
        <f t="shared" si="6"/>
        <v>  -   </v>
      </c>
      <c r="G82" s="116" t="str">
        <f t="shared" si="4"/>
        <v>  -   </v>
      </c>
    </row>
    <row r="83" ht="15.75" customHeight="1">
      <c r="A83" s="85"/>
      <c r="B83" s="85" t="s">
        <v>326</v>
      </c>
      <c r="C83" s="116" t="str">
        <f t="shared" si="5"/>
        <v>  -   </v>
      </c>
      <c r="D83" s="116" t="str">
        <f t="shared" si="1"/>
        <v>  -   </v>
      </c>
      <c r="E83" s="116" t="str">
        <f t="shared" si="2"/>
        <v>  -   </v>
      </c>
      <c r="F83" s="116" t="str">
        <f t="shared" si="6"/>
        <v>  -   </v>
      </c>
      <c r="G83" s="116" t="str">
        <f t="shared" si="4"/>
        <v>  -   </v>
      </c>
    </row>
    <row r="84" ht="15.75" customHeight="1">
      <c r="A84" s="85"/>
      <c r="B84" s="85" t="s">
        <v>327</v>
      </c>
      <c r="C84" s="116" t="str">
        <f t="shared" si="5"/>
        <v>  -   </v>
      </c>
      <c r="D84" s="116" t="str">
        <f t="shared" si="1"/>
        <v>  -   </v>
      </c>
      <c r="E84" s="116" t="str">
        <f t="shared" si="2"/>
        <v>  -   </v>
      </c>
      <c r="F84" s="116" t="str">
        <f t="shared" si="6"/>
        <v>  -   </v>
      </c>
      <c r="G84" s="116" t="str">
        <f t="shared" si="4"/>
        <v>  -   </v>
      </c>
    </row>
    <row r="85" ht="15.75" customHeight="1">
      <c r="A85" s="85"/>
      <c r="B85" s="85" t="s">
        <v>328</v>
      </c>
      <c r="C85" s="116" t="str">
        <f t="shared" si="5"/>
        <v>  -   </v>
      </c>
      <c r="D85" s="116" t="str">
        <f t="shared" si="1"/>
        <v>  -   </v>
      </c>
      <c r="E85" s="116" t="str">
        <f t="shared" si="2"/>
        <v>  -   </v>
      </c>
      <c r="F85" s="116" t="str">
        <f t="shared" si="6"/>
        <v>  -   </v>
      </c>
      <c r="G85" s="116" t="str">
        <f t="shared" si="4"/>
        <v>  -   </v>
      </c>
    </row>
    <row r="86" ht="15.75" customHeight="1">
      <c r="A86" s="85"/>
      <c r="B86" s="85" t="s">
        <v>329</v>
      </c>
      <c r="C86" s="116" t="str">
        <f t="shared" si="5"/>
        <v>  -   </v>
      </c>
      <c r="D86" s="116" t="str">
        <f t="shared" si="1"/>
        <v>  -   </v>
      </c>
      <c r="E86" s="116" t="str">
        <f t="shared" si="2"/>
        <v>  -   </v>
      </c>
      <c r="F86" s="116" t="str">
        <f t="shared" si="6"/>
        <v>  -   </v>
      </c>
      <c r="G86" s="116" t="str">
        <f t="shared" si="4"/>
        <v>  -   </v>
      </c>
    </row>
    <row r="87" ht="15.75" customHeight="1">
      <c r="A87" s="85"/>
      <c r="B87" s="85" t="s">
        <v>330</v>
      </c>
      <c r="C87" s="116" t="str">
        <f t="shared" si="5"/>
        <v>  -   </v>
      </c>
      <c r="D87" s="116" t="str">
        <f t="shared" si="1"/>
        <v>  -   </v>
      </c>
      <c r="E87" s="116" t="str">
        <f t="shared" si="2"/>
        <v>  -   </v>
      </c>
      <c r="F87" s="116" t="str">
        <f t="shared" si="6"/>
        <v>  -   </v>
      </c>
      <c r="G87" s="116" t="str">
        <f t="shared" si="4"/>
        <v>  -   </v>
      </c>
    </row>
    <row r="88" ht="15.75" customHeight="1">
      <c r="A88" s="85"/>
      <c r="B88" s="85" t="s">
        <v>331</v>
      </c>
      <c r="C88" s="116" t="str">
        <f t="shared" si="5"/>
        <v>  -   </v>
      </c>
      <c r="D88" s="116" t="str">
        <f t="shared" si="1"/>
        <v>  -   </v>
      </c>
      <c r="E88" s="116" t="str">
        <f t="shared" si="2"/>
        <v>  -   </v>
      </c>
      <c r="F88" s="116" t="str">
        <f t="shared" si="6"/>
        <v>  -   </v>
      </c>
      <c r="G88" s="116" t="str">
        <f t="shared" si="4"/>
        <v>  -   </v>
      </c>
    </row>
    <row r="89" ht="15.75" customHeight="1">
      <c r="A89" s="85"/>
      <c r="B89" s="85" t="s">
        <v>332</v>
      </c>
      <c r="C89" s="116" t="str">
        <f t="shared" si="5"/>
        <v>  -   </v>
      </c>
      <c r="D89" s="116" t="str">
        <f t="shared" si="1"/>
        <v>  -   </v>
      </c>
      <c r="E89" s="116" t="str">
        <f t="shared" si="2"/>
        <v>  -   </v>
      </c>
      <c r="F89" s="116" t="str">
        <f t="shared" si="6"/>
        <v>  -   </v>
      </c>
      <c r="G89" s="116" t="str">
        <f t="shared" si="4"/>
        <v>  -   </v>
      </c>
    </row>
    <row r="90" ht="15.75" customHeight="1">
      <c r="A90" s="85"/>
      <c r="B90" s="85" t="s">
        <v>333</v>
      </c>
      <c r="C90" s="116" t="str">
        <f t="shared" si="5"/>
        <v>  -   </v>
      </c>
      <c r="D90" s="116" t="str">
        <f t="shared" si="1"/>
        <v>  -   </v>
      </c>
      <c r="E90" s="116" t="str">
        <f t="shared" si="2"/>
        <v>  -   </v>
      </c>
      <c r="F90" s="116" t="str">
        <f t="shared" si="6"/>
        <v>  -   </v>
      </c>
      <c r="G90" s="116" t="str">
        <f t="shared" si="4"/>
        <v>  -   </v>
      </c>
    </row>
    <row r="91" ht="15.75" customHeight="1">
      <c r="A91" s="85"/>
      <c r="B91" s="85" t="s">
        <v>334</v>
      </c>
      <c r="C91" s="116" t="str">
        <f t="shared" si="5"/>
        <v>  -   </v>
      </c>
      <c r="D91" s="116" t="str">
        <f t="shared" si="1"/>
        <v>  -   </v>
      </c>
      <c r="E91" s="116" t="str">
        <f t="shared" si="2"/>
        <v>  -   </v>
      </c>
      <c r="F91" s="116" t="str">
        <f t="shared" si="6"/>
        <v>  -   </v>
      </c>
      <c r="G91" s="116" t="str">
        <f t="shared" si="4"/>
        <v>  -   </v>
      </c>
    </row>
    <row r="92" ht="15.75" customHeight="1">
      <c r="A92" s="85"/>
      <c r="B92" s="85" t="s">
        <v>335</v>
      </c>
      <c r="C92" s="116" t="str">
        <f t="shared" si="5"/>
        <v>  -   </v>
      </c>
      <c r="D92" s="116" t="str">
        <f t="shared" si="1"/>
        <v>  -   </v>
      </c>
      <c r="E92" s="116" t="str">
        <f t="shared" si="2"/>
        <v>  -   </v>
      </c>
      <c r="F92" s="116" t="str">
        <f t="shared" si="6"/>
        <v>  -   </v>
      </c>
      <c r="G92" s="116" t="str">
        <f t="shared" si="4"/>
        <v>  -   </v>
      </c>
    </row>
    <row r="93" ht="15.75" customHeight="1">
      <c r="A93" s="85"/>
      <c r="B93" s="85" t="s">
        <v>336</v>
      </c>
      <c r="C93" s="116" t="str">
        <f t="shared" si="5"/>
        <v>  -   </v>
      </c>
      <c r="D93" s="116" t="str">
        <f t="shared" si="1"/>
        <v>  -   </v>
      </c>
      <c r="E93" s="116" t="str">
        <f t="shared" si="2"/>
        <v>  -   </v>
      </c>
      <c r="F93" s="116" t="str">
        <f t="shared" si="6"/>
        <v>  -   </v>
      </c>
      <c r="G93" s="116" t="str">
        <f t="shared" si="4"/>
        <v>  -   </v>
      </c>
    </row>
    <row r="94" ht="15.75" customHeight="1">
      <c r="A94" s="110"/>
      <c r="B94" s="110"/>
      <c r="C94" s="110"/>
      <c r="D94" s="173" t="str">
        <f t="shared" ref="D94:E94" si="7">SUM(D10:D93)</f>
        <v>0.00</v>
      </c>
      <c r="E94" s="173" t="str">
        <f t="shared" si="7"/>
        <v>0.00</v>
      </c>
      <c r="F94" s="110"/>
      <c r="G94" s="110"/>
    </row>
    <row r="95" ht="39.75" customHeight="1">
      <c r="A95" s="174" t="s">
        <v>337</v>
      </c>
    </row>
    <row r="96" ht="15.75" customHeight="1">
      <c r="A96" t="s">
        <v>338</v>
      </c>
    </row>
    <row r="97" ht="15.75" customHeight="1">
      <c r="A97">
        <v>1.0</v>
      </c>
      <c r="B97" t="s">
        <v>339</v>
      </c>
    </row>
    <row r="98" ht="15.75" customHeight="1">
      <c r="A98">
        <v>2.0</v>
      </c>
      <c r="B98" t="s">
        <v>340</v>
      </c>
    </row>
    <row r="99" ht="15.75" customHeight="1"/>
    <row r="100" ht="15.75" customHeight="1"/>
  </sheetData>
  <mergeCells count="2">
    <mergeCell ref="A2:G2"/>
    <mergeCell ref="A95:H95"/>
  </mergeCells>
  <printOptions/>
  <pageMargins bottom="0.75" footer="0.0" header="0.0" left="0.7" right="0.7" top="0.75"/>
  <pageSetup orientation="portrait"/>
  <rowBreaks count="1" manualBreakCount="1">
    <brk id="57" man="1"/>
  </row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7.57"/>
    <col customWidth="1" min="3" max="3" width="30.57"/>
    <col customWidth="1" min="4" max="4" width="16.86"/>
    <col customWidth="1" min="5" max="5" width="15.71"/>
    <col customWidth="1" min="6" max="6" width="16.0"/>
    <col customWidth="1" min="7" max="7" width="20.43"/>
    <col customWidth="1" min="8" max="8" width="23.14"/>
    <col customWidth="1" min="9" max="9" width="26.86"/>
    <col customWidth="1" min="10" max="10" width="29.43"/>
    <col customWidth="1" min="11" max="11" width="32.14"/>
    <col customWidth="1" min="12" max="13" width="8.71"/>
    <col customWidth="1" hidden="1" min="14" max="14" width="24.0"/>
    <col customWidth="1" hidden="1" min="15" max="15" width="11.86"/>
    <col customWidth="1" hidden="1" min="16" max="16" width="9.57"/>
    <col customWidth="1" hidden="1" min="17" max="17" width="10.86"/>
    <col customWidth="1" hidden="1" min="18" max="18" width="11.29"/>
    <col customWidth="1" hidden="1" min="19" max="20" width="8.71"/>
    <col customWidth="1" hidden="1" min="21" max="21" width="24.0"/>
    <col customWidth="1" hidden="1" min="22" max="22" width="12.57"/>
  </cols>
  <sheetData>
    <row r="2">
      <c r="C2" s="26" t="s">
        <v>341</v>
      </c>
      <c r="L2" s="175"/>
    </row>
    <row r="3">
      <c r="C3" s="176" t="s">
        <v>174</v>
      </c>
      <c r="D3" s="176"/>
      <c r="E3" s="177" t="s">
        <v>177</v>
      </c>
      <c r="F3" s="177" t="s">
        <v>178</v>
      </c>
      <c r="G3" s="177" t="s">
        <v>179</v>
      </c>
      <c r="H3" s="177" t="s">
        <v>180</v>
      </c>
      <c r="I3" s="177" t="s">
        <v>181</v>
      </c>
      <c r="J3" s="177" t="s">
        <v>182</v>
      </c>
      <c r="K3" s="177" t="s">
        <v>183</v>
      </c>
      <c r="L3" s="110"/>
      <c r="M3" s="110"/>
      <c r="N3" s="178"/>
      <c r="O3" s="178"/>
      <c r="P3" s="178"/>
      <c r="Q3" s="178"/>
      <c r="R3" s="178"/>
      <c r="S3" s="178"/>
      <c r="T3" s="178"/>
      <c r="U3" s="178"/>
      <c r="V3" s="178"/>
    </row>
    <row r="4">
      <c r="C4" s="85" t="s">
        <v>342</v>
      </c>
      <c r="D4" s="85"/>
      <c r="E4" s="85"/>
      <c r="F4" s="85"/>
      <c r="G4" s="85"/>
      <c r="H4" s="85"/>
      <c r="I4" s="85"/>
      <c r="J4" s="85"/>
      <c r="K4" s="85"/>
      <c r="L4" s="110"/>
      <c r="M4" s="110"/>
      <c r="N4" s="179" t="s">
        <v>343</v>
      </c>
      <c r="O4" s="100"/>
      <c r="P4" s="100"/>
      <c r="Q4" s="100"/>
      <c r="R4" s="101"/>
      <c r="S4" s="178"/>
      <c r="T4" s="178"/>
      <c r="U4" s="179" t="s">
        <v>344</v>
      </c>
      <c r="V4" s="101"/>
    </row>
    <row r="5">
      <c r="C5" s="85" t="s">
        <v>345</v>
      </c>
      <c r="D5" s="180"/>
      <c r="E5" s="85"/>
      <c r="F5" s="116" t="str">
        <f t="shared" ref="F5:K5" si="1">E14</f>
        <v>  -   </v>
      </c>
      <c r="G5" s="116" t="str">
        <f t="shared" si="1"/>
        <v>  -   </v>
      </c>
      <c r="H5" s="116" t="str">
        <f t="shared" si="1"/>
        <v>  -   </v>
      </c>
      <c r="I5" s="116" t="str">
        <f t="shared" si="1"/>
        <v>  -   </v>
      </c>
      <c r="J5" s="116" t="str">
        <f t="shared" si="1"/>
        <v>  -   </v>
      </c>
      <c r="K5" s="116" t="str">
        <f t="shared" si="1"/>
        <v>  -   </v>
      </c>
      <c r="L5" s="110"/>
      <c r="M5" s="110"/>
      <c r="N5" s="181" t="s">
        <v>346</v>
      </c>
      <c r="O5" s="182"/>
      <c r="P5" s="182"/>
      <c r="Q5" s="182"/>
      <c r="R5" s="51"/>
      <c r="S5" s="178"/>
      <c r="T5" s="178"/>
      <c r="U5" s="181" t="s">
        <v>346</v>
      </c>
      <c r="V5" s="51"/>
    </row>
    <row r="6">
      <c r="C6" s="85" t="s">
        <v>347</v>
      </c>
      <c r="D6" s="180"/>
      <c r="E6" s="85"/>
      <c r="F6" s="116" t="str">
        <f t="shared" ref="F6:K6" si="2">E15</f>
        <v>  38,923,784 </v>
      </c>
      <c r="G6" s="116" t="str">
        <f t="shared" si="2"/>
        <v>  47,681,635 </v>
      </c>
      <c r="H6" s="116" t="str">
        <f t="shared" si="2"/>
        <v>  57,217,962 </v>
      </c>
      <c r="I6" s="116" t="str">
        <f t="shared" si="2"/>
        <v>  67,588,718 </v>
      </c>
      <c r="J6" s="116" t="str">
        <f t="shared" si="2"/>
        <v>  78,853,504 </v>
      </c>
      <c r="K6" s="116" t="str">
        <f t="shared" si="2"/>
        <v>  91,075,798 </v>
      </c>
      <c r="L6" s="110"/>
      <c r="M6" s="110"/>
      <c r="N6" s="183" t="s">
        <v>174</v>
      </c>
      <c r="O6" s="183" t="s">
        <v>348</v>
      </c>
      <c r="P6" s="183" t="s">
        <v>349</v>
      </c>
      <c r="Q6" s="183" t="s">
        <v>350</v>
      </c>
      <c r="R6" s="183" t="s">
        <v>351</v>
      </c>
      <c r="S6" s="178"/>
      <c r="T6" s="178"/>
      <c r="U6" s="184" t="s">
        <v>174</v>
      </c>
      <c r="V6" s="184" t="s">
        <v>352</v>
      </c>
    </row>
    <row r="7">
      <c r="C7" s="85" t="s">
        <v>353</v>
      </c>
      <c r="D7" s="180"/>
      <c r="E7" s="85"/>
      <c r="F7" s="116" t="str">
        <f t="shared" ref="F7:K7" si="3">E16</f>
        <v>  182,263 </v>
      </c>
      <c r="G7" s="116" t="str">
        <f t="shared" si="3"/>
        <v>  287,064 </v>
      </c>
      <c r="H7" s="116" t="str">
        <f t="shared" si="3"/>
        <v>  401,889 </v>
      </c>
      <c r="I7" s="116" t="str">
        <f t="shared" si="3"/>
        <v>  527,479 </v>
      </c>
      <c r="J7" s="116" t="str">
        <f t="shared" si="3"/>
        <v>  664,624 </v>
      </c>
      <c r="K7" s="116" t="str">
        <f t="shared" si="3"/>
        <v>  814,164 </v>
      </c>
      <c r="L7" s="110"/>
      <c r="M7" s="110"/>
      <c r="N7" s="185" t="s">
        <v>354</v>
      </c>
      <c r="O7" s="186" t="str">
        <f>'13.Facility 2 Grain Processing'!C155</f>
        <v>  20 </v>
      </c>
      <c r="P7" s="186" t="str">
        <f>'13.Facility 2 Grain Processing'!C156</f>
        <v>  20 </v>
      </c>
      <c r="Q7" s="186" t="str">
        <f>'13.Facility 2 Grain Processing'!C157</f>
        <v>  35 </v>
      </c>
      <c r="R7" s="186" t="str">
        <f>'13.Facility 2 Grain Processing'!C158</f>
        <v>  30 </v>
      </c>
      <c r="S7" s="178"/>
      <c r="T7" s="178"/>
      <c r="U7" s="185" t="s">
        <v>355</v>
      </c>
      <c r="V7" s="186" t="str">
        <f>'17.Facility 6 Horti Processing '!C163</f>
        <v>  -   </v>
      </c>
    </row>
    <row r="8">
      <c r="C8" s="85" t="str">
        <f>C17</f>
        <v>Horticulture Processing </v>
      </c>
      <c r="D8" s="85"/>
      <c r="E8" s="85"/>
      <c r="F8" s="116" t="str">
        <f t="shared" ref="F8:K8" si="4">E17</f>
        <v>  -   </v>
      </c>
      <c r="G8" s="116" t="str">
        <f t="shared" si="4"/>
        <v>  -   </v>
      </c>
      <c r="H8" s="116" t="str">
        <f t="shared" si="4"/>
        <v>  -   </v>
      </c>
      <c r="I8" s="116" t="str">
        <f t="shared" si="4"/>
        <v>  -   </v>
      </c>
      <c r="J8" s="116" t="str">
        <f t="shared" si="4"/>
        <v>  -   </v>
      </c>
      <c r="K8" s="116" t="str">
        <f t="shared" si="4"/>
        <v>  -   </v>
      </c>
      <c r="L8" s="110"/>
      <c r="M8" s="110"/>
      <c r="N8" s="185" t="str">
        <f>'13.Facility 2 Grain Processing'!A159</f>
        <v/>
      </c>
      <c r="O8" s="185" t="str">
        <f>('13.Facility 2 Grain Processing'!B159*'13.Facility 2 Grain Processing'!C159/1000)*100</f>
        <v>0</v>
      </c>
      <c r="P8" s="185" t="str">
        <f t="shared" ref="P8:R8" si="5">O8</f>
        <v>0</v>
      </c>
      <c r="Q8" s="185" t="str">
        <f t="shared" si="5"/>
        <v>0</v>
      </c>
      <c r="R8" s="185" t="str">
        <f t="shared" si="5"/>
        <v>0</v>
      </c>
      <c r="S8" s="178"/>
      <c r="T8" s="178"/>
      <c r="U8" s="185" t="str">
        <f>'17.Facility 6 Horti Processing '!A164</f>
        <v>Other Consumbales</v>
      </c>
      <c r="V8" s="187" t="str">
        <f>'17.Facility 6 Horti Processing '!C164</f>
        <v>0.00</v>
      </c>
    </row>
    <row r="9">
      <c r="C9" s="85"/>
      <c r="D9" s="85"/>
      <c r="E9" s="85"/>
      <c r="F9" s="116"/>
      <c r="G9" s="116"/>
      <c r="H9" s="116"/>
      <c r="I9" s="116"/>
      <c r="J9" s="116"/>
      <c r="K9" s="116"/>
      <c r="L9" s="110"/>
      <c r="M9" s="110"/>
      <c r="N9" s="185" t="str">
        <f>'13.Facility 2 Grain Processing'!A160</f>
        <v>Daily Labour </v>
      </c>
      <c r="O9" s="188" t="str">
        <f>('13.Facility 2 Grain Processing'!B160*'13.Facility 2 Grain Processing'!C160)/('13.Facility 2 Grain Processing'!B5*'13.Facility 2 Grain Processing'!B6)</f>
        <v>36.5</v>
      </c>
      <c r="P9" s="188" t="str">
        <f t="shared" ref="P9:R9" si="6">O9</f>
        <v>36.5</v>
      </c>
      <c r="Q9" s="188" t="str">
        <f t="shared" si="6"/>
        <v>36.5</v>
      </c>
      <c r="R9" s="188" t="str">
        <f t="shared" si="6"/>
        <v>36.5</v>
      </c>
      <c r="S9" s="178"/>
      <c r="T9" s="178"/>
      <c r="U9" s="185" t="str">
        <f>'17.Facility 6 Horti Processing '!A165</f>
        <v>Daily Labour </v>
      </c>
      <c r="V9" s="187" t="str">
        <f>'17.Facility 6 Horti Processing '!B165*'17.Facility 6 Horti Processing '!C165/('17.Facility 6 Horti Processing '!B5*'17.Facility 6 Horti Processing '!B6)</f>
        <v>0.00</v>
      </c>
    </row>
    <row r="10">
      <c r="C10" s="85"/>
      <c r="D10" s="85"/>
      <c r="E10" s="85"/>
      <c r="F10" s="116"/>
      <c r="G10" s="116"/>
      <c r="H10" s="116"/>
      <c r="I10" s="116"/>
      <c r="J10" s="116"/>
      <c r="K10" s="116"/>
      <c r="L10" s="110"/>
      <c r="M10" s="110"/>
      <c r="N10" s="185" t="str">
        <f>'13.Facility 2 Grain Processing'!A161</f>
        <v>Electricity Charges</v>
      </c>
      <c r="O10" s="188" t="str">
        <f>('13.Facility 2 Grain Processing'!B161*'13.Facility 2 Grain Processing'!C161)/('13.Facility 2 Grain Processing'!B5*'13.Facility 2 Grain Processing'!B6)</f>
        <v>0.0</v>
      </c>
      <c r="P10" s="188" t="str">
        <f t="shared" ref="P10:R10" si="7">O10</f>
        <v>0.0</v>
      </c>
      <c r="Q10" s="188" t="str">
        <f t="shared" si="7"/>
        <v>0.0</v>
      </c>
      <c r="R10" s="188" t="str">
        <f t="shared" si="7"/>
        <v>0.0</v>
      </c>
      <c r="S10" s="178"/>
      <c r="T10" s="178"/>
      <c r="U10" s="185" t="str">
        <f>'17.Facility 6 Horti Processing '!A166</f>
        <v>Electricity Charges</v>
      </c>
      <c r="V10" s="185" t="str">
        <f>'17.Facility 6 Horti Processing '!B166*'17.Facility 6 Horti Processing '!C166/('17.Facility 6 Horti Processing '!B5*'17.Facility 6 Horti Processing '!B6)</f>
        <v>0</v>
      </c>
    </row>
    <row r="11">
      <c r="C11" s="85" t="s">
        <v>89</v>
      </c>
      <c r="D11" s="85"/>
      <c r="E11" s="116"/>
      <c r="F11" s="116" t="str">
        <f t="shared" ref="F11:K11" si="8">SUM(F5:F10)</f>
        <v>  39,106,047 </v>
      </c>
      <c r="G11" s="116" t="str">
        <f t="shared" si="8"/>
        <v>  47,968,699 </v>
      </c>
      <c r="H11" s="116" t="str">
        <f t="shared" si="8"/>
        <v>  57,619,851 </v>
      </c>
      <c r="I11" s="116" t="str">
        <f t="shared" si="8"/>
        <v>  68,116,198 </v>
      </c>
      <c r="J11" s="116" t="str">
        <f t="shared" si="8"/>
        <v>  79,518,129 </v>
      </c>
      <c r="K11" s="116" t="str">
        <f t="shared" si="8"/>
        <v>  91,889,962 </v>
      </c>
      <c r="L11" s="110"/>
      <c r="M11" s="110"/>
      <c r="N11" s="185" t="str">
        <f>'13.Facility 2 Grain Processing'!A162</f>
        <v>Loading/Unloading Charges</v>
      </c>
      <c r="O11" s="185" t="str">
        <f>'13.Facility 2 Grain Processing'!C162*2</f>
        <v>20</v>
      </c>
      <c r="P11" s="185" t="str">
        <f t="shared" ref="P11:R11" si="9">O11</f>
        <v>20</v>
      </c>
      <c r="Q11" s="185" t="str">
        <f t="shared" si="9"/>
        <v>20</v>
      </c>
      <c r="R11" s="185" t="str">
        <f t="shared" si="9"/>
        <v>20</v>
      </c>
      <c r="S11" s="178"/>
      <c r="T11" s="178"/>
      <c r="U11" s="185" t="str">
        <f>'17.Facility 6 Horti Processing '!A167</f>
        <v>Loading/Unloading Charges</v>
      </c>
      <c r="V11" s="185" t="str">
        <f>'17.Facility 6 Horti Processing '!C167</f>
        <v>0</v>
      </c>
    </row>
    <row r="12">
      <c r="C12" s="85"/>
      <c r="D12" s="85"/>
      <c r="E12" s="85"/>
      <c r="F12" s="116"/>
      <c r="G12" s="116"/>
      <c r="H12" s="116"/>
      <c r="I12" s="116"/>
      <c r="J12" s="116"/>
      <c r="K12" s="116"/>
      <c r="L12" s="110"/>
      <c r="M12" s="110"/>
      <c r="N12" s="185" t="str">
        <f>'13.Facility 2 Grain Processing'!A163</f>
        <v>packaging Exp</v>
      </c>
      <c r="O12" s="185" t="str">
        <f>'13.Facility 2 Grain Processing'!C163*2</f>
        <v>40</v>
      </c>
      <c r="P12" s="185" t="str">
        <f t="shared" ref="P12:R12" si="10">O12</f>
        <v>40</v>
      </c>
      <c r="Q12" s="185" t="str">
        <f t="shared" si="10"/>
        <v>40</v>
      </c>
      <c r="R12" s="185" t="str">
        <f t="shared" si="10"/>
        <v>40</v>
      </c>
      <c r="S12" s="178"/>
      <c r="T12" s="178"/>
      <c r="U12" s="185" t="str">
        <f>'17.Facility 6 Horti Processing '!A168</f>
        <v>packaging Exp</v>
      </c>
      <c r="V12" s="189" t="str">
        <f>'17.Facility 6 Horti Processing '!C168*100</f>
        <v>0</v>
      </c>
    </row>
    <row r="13">
      <c r="C13" s="117" t="s">
        <v>356</v>
      </c>
      <c r="D13" s="85"/>
      <c r="E13" s="85"/>
      <c r="F13" s="116"/>
      <c r="G13" s="116"/>
      <c r="H13" s="116"/>
      <c r="I13" s="116"/>
      <c r="J13" s="116"/>
      <c r="K13" s="116"/>
      <c r="L13" s="110"/>
      <c r="M13" s="110"/>
      <c r="N13" s="185"/>
      <c r="O13" s="189"/>
      <c r="P13" s="189"/>
      <c r="Q13" s="189"/>
      <c r="R13" s="189"/>
      <c r="S13" s="178"/>
      <c r="T13" s="178"/>
      <c r="U13" s="189"/>
      <c r="V13" s="189"/>
    </row>
    <row r="14">
      <c r="C14" s="85" t="str">
        <f t="shared" ref="C14:C16" si="11">C5</f>
        <v>Agri Input</v>
      </c>
      <c r="D14" s="190">
        <v>0.0</v>
      </c>
      <c r="E14" s="116" t="str">
        <f>SUM('16.Facility 5 Agri Input'!D197:D252)*$D$14</f>
        <v>  -   </v>
      </c>
      <c r="F14" s="116" t="str">
        <f>SUM('16.Facility 5 Agri Input'!E197:E252)*$D$14</f>
        <v>  -   </v>
      </c>
      <c r="G14" s="116" t="str">
        <f>SUM('16.Facility 5 Agri Input'!F197:F252)*$D$14</f>
        <v>  -   </v>
      </c>
      <c r="H14" s="116" t="str">
        <f>SUM('16.Facility 5 Agri Input'!G197:G252)*$D$14</f>
        <v>  -   </v>
      </c>
      <c r="I14" s="116" t="str">
        <f>SUM('16.Facility 5 Agri Input'!H197:H252)*$D$14</f>
        <v>  -   </v>
      </c>
      <c r="J14" s="116" t="str">
        <f>SUM('16.Facility 5 Agri Input'!I197:I252)*$D$14</f>
        <v>  -   </v>
      </c>
      <c r="K14" s="116" t="str">
        <f>SUM('16.Facility 5 Agri Input'!J197:J252)*$D$14</f>
        <v>  -   </v>
      </c>
      <c r="L14" s="110"/>
      <c r="M14" s="110"/>
      <c r="N14" s="189"/>
      <c r="O14" s="189"/>
      <c r="P14" s="189"/>
      <c r="Q14" s="189"/>
      <c r="R14" s="189"/>
      <c r="U14" s="189"/>
      <c r="V14" s="189"/>
    </row>
    <row r="15">
      <c r="C15" s="85" t="str">
        <f t="shared" si="11"/>
        <v>Trading</v>
      </c>
      <c r="D15" s="190">
        <v>0.4</v>
      </c>
      <c r="E15" s="116" t="str">
        <f>SUM('12.Facility 1 - Trading'!D233:D284)*$D$15</f>
        <v>  38,923,784 </v>
      </c>
      <c r="F15" s="116" t="str">
        <f>SUM('12.Facility 1 - Trading'!E233:E284)*$D$15</f>
        <v>  47,681,635 </v>
      </c>
      <c r="G15" s="116" t="str">
        <f>SUM('12.Facility 1 - Trading'!F233:F284)*$D$15</f>
        <v>  57,217,962 </v>
      </c>
      <c r="H15" s="116" t="str">
        <f>SUM('12.Facility 1 - Trading'!G233:G284)*$D$15</f>
        <v>  67,588,718 </v>
      </c>
      <c r="I15" s="116" t="str">
        <f>SUM('12.Facility 1 - Trading'!H233:H284)*$D$15</f>
        <v>  78,853,504 </v>
      </c>
      <c r="J15" s="116" t="str">
        <f>SUM('12.Facility 1 - Trading'!I233:I284)*$D$15</f>
        <v>  91,075,798 </v>
      </c>
      <c r="K15" s="116" t="str">
        <f>SUM('12.Facility 1 - Trading'!J233:J284)*$D$15</f>
        <v>  104,323,186 </v>
      </c>
      <c r="L15" s="110"/>
      <c r="M15" s="110"/>
      <c r="N15" s="183" t="s">
        <v>357</v>
      </c>
      <c r="O15" s="191" t="str">
        <f t="shared" ref="O15:R15" si="12">SUM(O7:O12)</f>
        <v>116.46</v>
      </c>
      <c r="P15" s="191" t="str">
        <f t="shared" si="12"/>
        <v>116.46</v>
      </c>
      <c r="Q15" s="191" t="str">
        <f t="shared" si="12"/>
        <v>131.46</v>
      </c>
      <c r="R15" s="191" t="str">
        <f t="shared" si="12"/>
        <v>126.46</v>
      </c>
      <c r="U15" s="183" t="s">
        <v>89</v>
      </c>
      <c r="V15" s="191" t="str">
        <f>SUM(V7:V14)</f>
        <v>0.00</v>
      </c>
    </row>
    <row r="16">
      <c r="C16" s="85" t="str">
        <f t="shared" si="11"/>
        <v>Grain Processing-Cleaning, Grading &amp; Sorting</v>
      </c>
      <c r="D16" s="190">
        <v>0.4</v>
      </c>
      <c r="E16" s="116" t="str">
        <f>SUM('13.Facility 2 Grain Processing'!D155:D163)*$D$16</f>
        <v>  182,263 </v>
      </c>
      <c r="F16" s="116" t="str">
        <f>SUM('13.Facility 2 Grain Processing'!E155:E163)*$D$16</f>
        <v>  287,064 </v>
      </c>
      <c r="G16" s="116" t="str">
        <f>SUM('13.Facility 2 Grain Processing'!F155:F163)*$D$16</f>
        <v>  401,889 </v>
      </c>
      <c r="H16" s="116" t="str">
        <f>SUM('13.Facility 2 Grain Processing'!G155:G163)*$D$16</f>
        <v>  527,479 </v>
      </c>
      <c r="I16" s="116" t="str">
        <f>SUM('13.Facility 2 Grain Processing'!H155:H163)*$D$16</f>
        <v>  664,624 </v>
      </c>
      <c r="J16" s="116" t="str">
        <f>SUM('13.Facility 2 Grain Processing'!I155:I163)*$D$16</f>
        <v>  814,164 </v>
      </c>
      <c r="K16" s="116" t="str">
        <f>SUM('13.Facility 2 Grain Processing'!J155:J163)*$D$16</f>
        <v>  976,997 </v>
      </c>
      <c r="L16" s="110"/>
      <c r="M16" s="110"/>
    </row>
    <row r="17">
      <c r="C17" s="85" t="s">
        <v>358</v>
      </c>
      <c r="D17" s="190">
        <v>0.0</v>
      </c>
      <c r="E17" s="116" t="str">
        <f>SUM('17.Facility 6 Horti Processing '!D163:D168)*$D$17</f>
        <v>  -   </v>
      </c>
      <c r="F17" s="116" t="str">
        <f>SUM('17.Facility 6 Horti Processing '!E163:E168)*$D$17</f>
        <v>  -   </v>
      </c>
      <c r="G17" s="116" t="str">
        <f>SUM('17.Facility 6 Horti Processing '!F163:F168)*$D$17</f>
        <v>  -   </v>
      </c>
      <c r="H17" s="116" t="str">
        <f>SUM('17.Facility 6 Horti Processing '!G163:G168)*$D$17</f>
        <v>  -   </v>
      </c>
      <c r="I17" s="116" t="str">
        <f>SUM('17.Facility 6 Horti Processing '!H163:H168)*$D$17</f>
        <v>  -   </v>
      </c>
      <c r="J17" s="116" t="str">
        <f>SUM('17.Facility 6 Horti Processing '!I163:I168)*$D$17</f>
        <v>  -   </v>
      </c>
      <c r="K17" s="116" t="str">
        <f>SUM('17.Facility 6 Horti Processing '!J163:J168)*$D$17</f>
        <v>  -   </v>
      </c>
      <c r="L17" s="110"/>
      <c r="M17" s="110"/>
    </row>
    <row r="18">
      <c r="C18" s="85"/>
      <c r="D18" s="192"/>
      <c r="E18" s="116"/>
      <c r="F18" s="116"/>
      <c r="G18" s="116"/>
      <c r="H18" s="116"/>
      <c r="I18" s="116"/>
      <c r="J18" s="116"/>
      <c r="K18" s="116"/>
      <c r="L18" s="110"/>
      <c r="M18" s="110"/>
    </row>
    <row r="19">
      <c r="C19" s="85"/>
      <c r="D19" s="85"/>
      <c r="E19" s="85"/>
      <c r="F19" s="116"/>
      <c r="G19" s="116"/>
      <c r="H19" s="116"/>
      <c r="I19" s="116"/>
      <c r="J19" s="116"/>
      <c r="K19" s="116"/>
      <c r="L19" s="110"/>
      <c r="M19" s="110"/>
    </row>
    <row r="20">
      <c r="C20" s="85" t="s">
        <v>89</v>
      </c>
      <c r="D20" s="85"/>
      <c r="E20" s="116" t="str">
        <f t="shared" ref="E20:K20" si="13">SUM(E14:E19)</f>
        <v>  39,106,047 </v>
      </c>
      <c r="F20" s="116" t="str">
        <f t="shared" si="13"/>
        <v>  47,968,699 </v>
      </c>
      <c r="G20" s="116" t="str">
        <f t="shared" si="13"/>
        <v>  57,619,851 </v>
      </c>
      <c r="H20" s="116" t="str">
        <f t="shared" si="13"/>
        <v>  68,116,198 </v>
      </c>
      <c r="I20" s="116" t="str">
        <f t="shared" si="13"/>
        <v>  79,518,129 </v>
      </c>
      <c r="J20" s="116" t="str">
        <f t="shared" si="13"/>
        <v>  91,889,962 </v>
      </c>
      <c r="K20" s="116" t="str">
        <f t="shared" si="13"/>
        <v>  105,300,184 </v>
      </c>
      <c r="L20" s="110"/>
      <c r="M20" s="110"/>
    </row>
    <row r="21" ht="40.5" customHeight="1">
      <c r="A21" s="109" t="s">
        <v>359</v>
      </c>
      <c r="L21" s="193"/>
      <c r="M21" s="193"/>
      <c r="N21" s="193"/>
      <c r="O21" s="194"/>
      <c r="P21" s="194"/>
      <c r="Q21" s="194"/>
      <c r="R21" s="194"/>
    </row>
    <row r="22" ht="15.75" customHeight="1">
      <c r="A22" t="s">
        <v>338</v>
      </c>
    </row>
    <row r="23" ht="15.75" customHeight="1">
      <c r="A23">
        <v>1.0</v>
      </c>
      <c r="B23" t="s">
        <v>360</v>
      </c>
    </row>
    <row r="24" ht="15.75" customHeight="1">
      <c r="B24" s="26" t="s">
        <v>361</v>
      </c>
    </row>
    <row r="25" ht="15.75" customHeight="1">
      <c r="B25" s="195" t="s">
        <v>83</v>
      </c>
      <c r="C25" s="195" t="s">
        <v>174</v>
      </c>
      <c r="D25" s="196" t="s">
        <v>362</v>
      </c>
      <c r="E25" s="197" t="s">
        <v>93</v>
      </c>
      <c r="F25" s="182"/>
      <c r="G25" s="182"/>
      <c r="H25" s="182"/>
      <c r="I25" s="182"/>
      <c r="J25" s="182"/>
      <c r="K25" s="51"/>
    </row>
    <row r="26" ht="15.75" customHeight="1">
      <c r="B26" s="21"/>
      <c r="C26" s="21"/>
      <c r="D26" s="21"/>
      <c r="E26" s="60" t="s">
        <v>177</v>
      </c>
      <c r="F26" s="60" t="s">
        <v>178</v>
      </c>
      <c r="G26" s="60" t="s">
        <v>179</v>
      </c>
      <c r="H26" s="60" t="s">
        <v>180</v>
      </c>
      <c r="I26" s="60" t="s">
        <v>181</v>
      </c>
      <c r="J26" s="60" t="s">
        <v>182</v>
      </c>
      <c r="K26" s="60" t="s">
        <v>183</v>
      </c>
    </row>
    <row r="27" ht="15.75" customHeight="1">
      <c r="B27" s="198"/>
      <c r="C27" s="199"/>
      <c r="D27" s="199"/>
      <c r="E27" s="200"/>
      <c r="F27" s="200"/>
      <c r="G27" s="200"/>
      <c r="H27" s="200"/>
      <c r="I27" s="200"/>
      <c r="J27" s="200"/>
      <c r="K27" s="200"/>
    </row>
    <row r="28" ht="15.75" customHeight="1">
      <c r="B28" s="81" t="s">
        <v>19</v>
      </c>
      <c r="C28" s="82" t="s">
        <v>363</v>
      </c>
      <c r="D28" s="74"/>
      <c r="E28" s="201"/>
      <c r="F28" s="201"/>
      <c r="G28" s="201"/>
      <c r="H28" s="201"/>
      <c r="I28" s="201"/>
      <c r="J28" s="201"/>
      <c r="K28" s="201"/>
    </row>
    <row r="29" ht="15.75" customHeight="1">
      <c r="B29" s="83">
        <v>1.0</v>
      </c>
      <c r="C29" s="86" t="s">
        <v>345</v>
      </c>
      <c r="D29" s="74">
        <v>0.0</v>
      </c>
      <c r="E29" s="201" t="str">
        <f>('16.Facility 5 Agri Input'!D191/365)*$D$29</f>
        <v>  -   </v>
      </c>
      <c r="F29" s="201" t="str">
        <f>('16.Facility 5 Agri Input'!E191/365)*$D$29</f>
        <v>  -   </v>
      </c>
      <c r="G29" s="201" t="str">
        <f>('16.Facility 5 Agri Input'!F191/365)*$D$29</f>
        <v>  -   </v>
      </c>
      <c r="H29" s="201" t="str">
        <f>('16.Facility 5 Agri Input'!G191/365)*$D$29</f>
        <v>  -   </v>
      </c>
      <c r="I29" s="201" t="str">
        <f>('16.Facility 5 Agri Input'!H191/365)*$D$29</f>
        <v>  -   </v>
      </c>
      <c r="J29" s="201" t="str">
        <f>('16.Facility 5 Agri Input'!I191/365)*$D$29</f>
        <v>  -   </v>
      </c>
      <c r="K29" s="201" t="str">
        <f>('16.Facility 5 Agri Input'!J191/365)*$D$29</f>
        <v>  -   </v>
      </c>
    </row>
    <row r="30" ht="15.75" customHeight="1">
      <c r="B30" s="83">
        <v>2.0</v>
      </c>
      <c r="C30" s="86" t="s">
        <v>364</v>
      </c>
      <c r="D30" s="74">
        <v>0.0</v>
      </c>
      <c r="E30" s="201" t="str">
        <f>('15. Facility 4 Custom Hiring'!E39/365)*$D$30</f>
        <v>  -   </v>
      </c>
      <c r="F30" s="201" t="str">
        <f>('15. Facility 4 Custom Hiring'!F39/365)*$D$30</f>
        <v>  -   </v>
      </c>
      <c r="G30" s="201" t="str">
        <f>('15. Facility 4 Custom Hiring'!G39/365)*$D$30</f>
        <v>  -   </v>
      </c>
      <c r="H30" s="201" t="str">
        <f>('15. Facility 4 Custom Hiring'!H39/365)*$D$30</f>
        <v>  -   </v>
      </c>
      <c r="I30" s="201" t="str">
        <f>('15. Facility 4 Custom Hiring'!I39/365)*$D$30</f>
        <v>  -   </v>
      </c>
      <c r="J30" s="201" t="str">
        <f>('15. Facility 4 Custom Hiring'!J39/365)*$D$30</f>
        <v>  -   </v>
      </c>
      <c r="K30" s="201" t="str">
        <f>('15. Facility 4 Custom Hiring'!K39/365)*$D$30</f>
        <v>  -   </v>
      </c>
    </row>
    <row r="31" ht="15.75" customHeight="1">
      <c r="B31" s="83">
        <v>3.0</v>
      </c>
      <c r="C31" s="86" t="s">
        <v>365</v>
      </c>
      <c r="D31" s="74">
        <v>30.0</v>
      </c>
      <c r="E31" s="201" t="str">
        <f>('12.Facility 1 - Trading'!D229/365)*$D$31</f>
        <v>  5,547,652 </v>
      </c>
      <c r="F31" s="201" t="str">
        <f>('12.Facility 1 - Trading'!E229/365)*$D$31</f>
        <v>  10,654,608 </v>
      </c>
      <c r="G31" s="201" t="str">
        <f>('12.Facility 1 - Trading'!F229/365)*$D$31</f>
        <v>  12,881,998 </v>
      </c>
      <c r="H31" s="201" t="str">
        <f>('12.Facility 1 - Trading'!G229/365)*$D$31</f>
        <v>  15,305,490 </v>
      </c>
      <c r="I31" s="201" t="str">
        <f>('12.Facility 1 - Trading'!H229/365)*$D$31</f>
        <v>  17,939,127 </v>
      </c>
      <c r="J31" s="201" t="str">
        <f>('12.Facility 1 - Trading'!I229/365)*$D$31</f>
        <v>  20,797,864 </v>
      </c>
      <c r="K31" s="201" t="str">
        <f>('12.Facility 1 - Trading'!J229/365)*$D$31</f>
        <v>  23,897,626 </v>
      </c>
    </row>
    <row r="32" ht="15.75" customHeight="1">
      <c r="B32" s="83">
        <v>4.0</v>
      </c>
      <c r="C32" s="86" t="s">
        <v>145</v>
      </c>
      <c r="D32" s="74">
        <v>30.0</v>
      </c>
      <c r="E32" s="201" t="str">
        <f>('13.Facility 2 Grain Processing'!D151/365)*$D$32</f>
        <v>  299,095 </v>
      </c>
      <c r="F32" s="201" t="str">
        <f>('13.Facility 2 Grain Processing'!E151/365)*$D$32</f>
        <v>  484,801 </v>
      </c>
      <c r="G32" s="201" t="str">
        <f>('13.Facility 2 Grain Processing'!F151/365)*$D$32</f>
        <v>  681,123 </v>
      </c>
      <c r="H32" s="201" t="str">
        <f>('13.Facility 2 Grain Processing'!G151/365)*$D$32</f>
        <v>  895,865 </v>
      </c>
      <c r="I32" s="201" t="str">
        <f>('13.Facility 2 Grain Processing'!H151/365)*$D$32</f>
        <v>  1,130,379 </v>
      </c>
      <c r="J32" s="201" t="str">
        <f>('13.Facility 2 Grain Processing'!I151/365)*$D$32</f>
        <v>  1,386,105 </v>
      </c>
      <c r="K32" s="201" t="str">
        <f>('13.Facility 2 Grain Processing'!J151/365)*$D$32</f>
        <v>  1,664,577 </v>
      </c>
    </row>
    <row r="33" ht="15.75" customHeight="1">
      <c r="B33" s="83">
        <v>5.0</v>
      </c>
      <c r="C33" s="86" t="s">
        <v>366</v>
      </c>
      <c r="D33" s="74">
        <v>30.0</v>
      </c>
      <c r="E33" s="201" t="str">
        <f>('14. Facility 3 Warehouse'!D23/365)*$D$33</f>
        <v>  355,068 </v>
      </c>
      <c r="F33" s="201" t="str">
        <f>('14. Facility 3 Warehouse'!E23/365)*$D$33</f>
        <v>  396,123 </v>
      </c>
      <c r="G33" s="201" t="str">
        <f>('14. Facility 3 Warehouse'!F23/365)*$D$33</f>
        <v>  440,396 </v>
      </c>
      <c r="H33" s="201" t="str">
        <f>('14. Facility 3 Warehouse'!G23/365)*$D$33</f>
        <v>  488,105 </v>
      </c>
      <c r="I33" s="201" t="str">
        <f>('14. Facility 3 Warehouse'!H23/365)*$D$33</f>
        <v>  539,485 </v>
      </c>
      <c r="J33" s="201" t="str">
        <f>('14. Facility 3 Warehouse'!I23/365)*$D$33</f>
        <v>  566,459 </v>
      </c>
      <c r="K33" s="201" t="str">
        <f>('14. Facility 3 Warehouse'!J23/365)*$D$33</f>
        <v>  594,782 </v>
      </c>
    </row>
    <row r="34" ht="15.75" customHeight="1">
      <c r="B34" s="83">
        <v>6.0</v>
      </c>
      <c r="C34" s="86" t="s">
        <v>367</v>
      </c>
      <c r="D34" s="74">
        <v>0.0</v>
      </c>
      <c r="E34" s="201" t="str">
        <f>('17.Facility 6 Horti Processing '!D159/365)*$D$34</f>
        <v>  -   </v>
      </c>
      <c r="F34" s="201" t="str">
        <f>('17.Facility 6 Horti Processing '!E159/365)*$D$34</f>
        <v>  -   </v>
      </c>
      <c r="G34" s="201" t="str">
        <f>('17.Facility 6 Horti Processing '!F159/365)*$D$34</f>
        <v>  -   </v>
      </c>
      <c r="H34" s="201" t="str">
        <f>('17.Facility 6 Horti Processing '!G159/365)*$D$34</f>
        <v>  -   </v>
      </c>
      <c r="I34" s="201" t="str">
        <f>('17.Facility 6 Horti Processing '!H159/365)*$D$34</f>
        <v>  -   </v>
      </c>
      <c r="J34" s="201" t="str">
        <f>('17.Facility 6 Horti Processing '!I159/365)*$D$34</f>
        <v>  -   </v>
      </c>
      <c r="K34" s="201" t="str">
        <f>('17.Facility 6 Horti Processing '!J159/365)*$D$34</f>
        <v>  -   </v>
      </c>
    </row>
    <row r="35" ht="15.75" customHeight="1">
      <c r="B35" s="83"/>
      <c r="C35" s="86"/>
      <c r="D35" s="74"/>
      <c r="E35" s="201"/>
      <c r="F35" s="201"/>
      <c r="G35" s="201"/>
      <c r="H35" s="201"/>
      <c r="I35" s="201"/>
      <c r="J35" s="201"/>
      <c r="K35" s="201"/>
    </row>
    <row r="36" ht="15.75" customHeight="1">
      <c r="B36" s="81"/>
      <c r="C36" s="82" t="s">
        <v>143</v>
      </c>
      <c r="D36" s="74"/>
      <c r="E36" s="201" t="str">
        <f t="shared" ref="E36:K36" si="14">SUM(E29:E35)</f>
        <v>  6,201,816 </v>
      </c>
      <c r="F36" s="201" t="str">
        <f t="shared" si="14"/>
        <v>  11,535,532 </v>
      </c>
      <c r="G36" s="201" t="str">
        <f t="shared" si="14"/>
        <v>  14,003,517 </v>
      </c>
      <c r="H36" s="201" t="str">
        <f t="shared" si="14"/>
        <v>  16,689,461 </v>
      </c>
      <c r="I36" s="201" t="str">
        <f t="shared" si="14"/>
        <v>  19,608,991 </v>
      </c>
      <c r="J36" s="201" t="str">
        <f t="shared" si="14"/>
        <v>  22,750,428 </v>
      </c>
      <c r="K36" s="201" t="str">
        <f t="shared" si="14"/>
        <v>  26,156,986 </v>
      </c>
    </row>
    <row r="37" ht="15.75" customHeight="1">
      <c r="B37" s="81" t="s">
        <v>61</v>
      </c>
      <c r="C37" s="82" t="s">
        <v>356</v>
      </c>
      <c r="D37" s="74"/>
      <c r="E37" s="201" t="str">
        <f>'5.Closing Stock &amp; W Capital'!E20</f>
        <v>  39,106,047 </v>
      </c>
      <c r="F37" s="201" t="str">
        <f>'5.Closing Stock &amp; W Capital'!F20</f>
        <v>  47,968,699 </v>
      </c>
      <c r="G37" s="201" t="str">
        <f>'5.Closing Stock &amp; W Capital'!G20</f>
        <v>  57,619,851 </v>
      </c>
      <c r="H37" s="201" t="str">
        <f>'5.Closing Stock &amp; W Capital'!H20</f>
        <v>  68,116,198 </v>
      </c>
      <c r="I37" s="201" t="str">
        <f>'5.Closing Stock &amp; W Capital'!I20</f>
        <v>  79,518,129 </v>
      </c>
      <c r="J37" s="201" t="str">
        <f>'5.Closing Stock &amp; W Capital'!J20</f>
        <v>  91,889,962 </v>
      </c>
      <c r="K37" s="201" t="str">
        <f>'5.Closing Stock &amp; W Capital'!K20</f>
        <v>  105,300,184 </v>
      </c>
    </row>
    <row r="38" ht="15.75" customHeight="1">
      <c r="B38" s="81"/>
      <c r="C38" s="86"/>
      <c r="D38" s="74"/>
      <c r="E38" s="201"/>
      <c r="F38" s="201"/>
      <c r="G38" s="201"/>
      <c r="H38" s="201"/>
      <c r="I38" s="201"/>
      <c r="J38" s="201"/>
      <c r="K38" s="201"/>
    </row>
    <row r="39" ht="15.75" customHeight="1">
      <c r="B39" s="88" t="s">
        <v>89</v>
      </c>
      <c r="C39" s="6"/>
      <c r="D39" s="202"/>
      <c r="E39" s="203" t="str">
        <f t="shared" ref="E39:K39" si="15">SUM(E36:E37)</f>
        <v>  45,307,862 </v>
      </c>
      <c r="F39" s="203" t="str">
        <f t="shared" si="15"/>
        <v>  59,504,231 </v>
      </c>
      <c r="G39" s="203" t="str">
        <f t="shared" si="15"/>
        <v>  71,623,368 </v>
      </c>
      <c r="H39" s="203" t="str">
        <f t="shared" si="15"/>
        <v>  84,805,659 </v>
      </c>
      <c r="I39" s="203" t="str">
        <f t="shared" si="15"/>
        <v>  99,127,120 </v>
      </c>
      <c r="J39" s="203" t="str">
        <f t="shared" si="15"/>
        <v>  114,640,390 </v>
      </c>
      <c r="K39" s="203" t="str">
        <f t="shared" si="15"/>
        <v>  131,457,170 </v>
      </c>
    </row>
    <row r="40" ht="15.75" customHeight="1">
      <c r="B40" s="81"/>
      <c r="C40" s="82"/>
      <c r="D40" s="74"/>
      <c r="E40" s="201"/>
      <c r="F40" s="201"/>
      <c r="G40" s="201"/>
      <c r="H40" s="201"/>
      <c r="I40" s="201"/>
      <c r="J40" s="201"/>
      <c r="K40" s="201"/>
    </row>
    <row r="41" ht="34.5" customHeight="1">
      <c r="B41" s="81" t="s">
        <v>368</v>
      </c>
      <c r="C41" s="86" t="s">
        <v>369</v>
      </c>
      <c r="D41" s="74"/>
      <c r="E41" s="201"/>
      <c r="F41" s="201"/>
      <c r="G41" s="201"/>
      <c r="H41" s="201"/>
      <c r="I41" s="201"/>
      <c r="J41" s="201"/>
      <c r="K41" s="201"/>
    </row>
    <row r="42" ht="15.75" customHeight="1">
      <c r="B42" s="83">
        <v>1.0</v>
      </c>
      <c r="C42" s="86" t="str">
        <f t="shared" ref="C42:C47" si="16">C29</f>
        <v>Agri Input</v>
      </c>
      <c r="D42" s="74">
        <v>0.0</v>
      </c>
      <c r="E42" s="201" t="str">
        <f>('16.Facility 5 Agri Input'!D262/365)*$D$42</f>
        <v>  -   </v>
      </c>
      <c r="F42" s="201" t="str">
        <f>('16.Facility 5 Agri Input'!E262/365)*$D$42</f>
        <v>  -   </v>
      </c>
      <c r="G42" s="201" t="str">
        <f>('16.Facility 5 Agri Input'!F262/365)*$D$42</f>
        <v>  -   </v>
      </c>
      <c r="H42" s="201" t="str">
        <f>('16.Facility 5 Agri Input'!G262/365)*$D$42</f>
        <v>  -   </v>
      </c>
      <c r="I42" s="201" t="str">
        <f>('16.Facility 5 Agri Input'!H262/365)*$D$42</f>
        <v>  -   </v>
      </c>
      <c r="J42" s="201" t="str">
        <f>('16.Facility 5 Agri Input'!I262/365)*$D$42</f>
        <v>  -   </v>
      </c>
      <c r="K42" s="201" t="str">
        <f>('16.Facility 5 Agri Input'!J262/365)*$D$42</f>
        <v>  -   </v>
      </c>
    </row>
    <row r="43" ht="15.75" customHeight="1">
      <c r="B43" s="83">
        <v>2.0</v>
      </c>
      <c r="C43" s="86" t="str">
        <f t="shared" si="16"/>
        <v>Custom Hiring</v>
      </c>
      <c r="D43" s="74">
        <v>0.0</v>
      </c>
      <c r="E43" s="201" t="str">
        <f>('15. Facility 4 Custom Hiring'!E49/365)*$D$44</f>
        <v>  -   </v>
      </c>
      <c r="F43" s="201" t="str">
        <f>('15. Facility 4 Custom Hiring'!F49/365)*$D$44</f>
        <v>  -   </v>
      </c>
      <c r="G43" s="201" t="str">
        <f>('15. Facility 4 Custom Hiring'!G49/365)*$D$44</f>
        <v>  -   </v>
      </c>
      <c r="H43" s="201" t="str">
        <f>('15. Facility 4 Custom Hiring'!H49/365)*$D$44</f>
        <v>  -   </v>
      </c>
      <c r="I43" s="201" t="str">
        <f>('15. Facility 4 Custom Hiring'!I49/365)*$D$44</f>
        <v>  -   </v>
      </c>
      <c r="J43" s="201" t="str">
        <f>('15. Facility 4 Custom Hiring'!J49/365)*$D$44</f>
        <v>  -   </v>
      </c>
      <c r="K43" s="201" t="str">
        <f>('15. Facility 4 Custom Hiring'!K49/365)*$D$44</f>
        <v>  -   </v>
      </c>
    </row>
    <row r="44" ht="15.75" customHeight="1">
      <c r="B44" s="83">
        <v>3.0</v>
      </c>
      <c r="C44" s="86" t="str">
        <f t="shared" si="16"/>
        <v>Trading Activity</v>
      </c>
      <c r="D44" s="74">
        <v>30.0</v>
      </c>
      <c r="E44" s="201" t="str">
        <f>('12.Facility 1 - Trading'!D292/365)*$D$44</f>
        <v>  4,860,239 </v>
      </c>
      <c r="F44" s="201" t="str">
        <f>('12.Facility 1 - Trading'!E292/365)*$D$44</f>
        <v>  9,153,008 </v>
      </c>
      <c r="G44" s="201" t="str">
        <f>('12.Facility 1 - Trading'!F292/365)*$D$44</f>
        <v>  11,063,590 </v>
      </c>
      <c r="H44" s="201" t="str">
        <f>('12.Facility 1 - Trading'!G292/365)*$D$44</f>
        <v>  13,142,348 </v>
      </c>
      <c r="I44" s="201" t="str">
        <f>('12.Facility 1 - Trading'!H292/365)*$D$44</f>
        <v>  15,401,323 </v>
      </c>
      <c r="J44" s="201" t="str">
        <f>('12.Facility 1 - Trading'!I292/365)*$D$44</f>
        <v>  17,853,339 </v>
      </c>
      <c r="K44" s="201" t="str">
        <f>('12.Facility 1 - Trading'!J292/365)*$D$44</f>
        <v>  20,512,053 </v>
      </c>
    </row>
    <row r="45" ht="15.75" customHeight="1">
      <c r="B45" s="83">
        <v>4.0</v>
      </c>
      <c r="C45" s="86" t="str">
        <f t="shared" si="16"/>
        <v>Cleaning, Grading &amp; Sorting</v>
      </c>
      <c r="D45" s="74">
        <v>30.0</v>
      </c>
      <c r="E45" s="201" t="str">
        <f>('13.Facility 2 Grain Processing'!D172/365)*$D$45</f>
        <v>  31,802 </v>
      </c>
      <c r="F45" s="201" t="str">
        <f>('13.Facility 2 Grain Processing'!E172/365)*$D$45</f>
        <v>  65,069 </v>
      </c>
      <c r="G45" s="201" t="str">
        <f>('13.Facility 2 Grain Processing'!F172/365)*$D$45</f>
        <v>  93,718 </v>
      </c>
      <c r="H45" s="201" t="str">
        <f>('13.Facility 2 Grain Processing'!G172/365)*$D$45</f>
        <v>  125,070 </v>
      </c>
      <c r="I45" s="201" t="str">
        <f>('13.Facility 2 Grain Processing'!H172/365)*$D$45</f>
        <v>  159,322 </v>
      </c>
      <c r="J45" s="201" t="str">
        <f>('13.Facility 2 Grain Processing'!I172/365)*$D$45</f>
        <v>  196,687 </v>
      </c>
      <c r="K45" s="201" t="str">
        <f>('13.Facility 2 Grain Processing'!J172/365)*$D$45</f>
        <v>  237,390 </v>
      </c>
    </row>
    <row r="46" ht="15.75" customHeight="1">
      <c r="B46" s="83">
        <v>5.0</v>
      </c>
      <c r="C46" s="86" t="str">
        <f t="shared" si="16"/>
        <v>Warehouse</v>
      </c>
      <c r="D46" s="74">
        <v>30.0</v>
      </c>
      <c r="E46" s="201" t="str">
        <f>('14. Facility 3 Warehouse'!D34/365)*$D$46</f>
        <v>  28,800 </v>
      </c>
      <c r="F46" s="201" t="str">
        <f>('14. Facility 3 Warehouse'!E34/365)*$D$46</f>
        <v>  30,240 </v>
      </c>
      <c r="G46" s="201" t="str">
        <f>('14. Facility 3 Warehouse'!F34/365)*$D$46</f>
        <v>  31,752 </v>
      </c>
      <c r="H46" s="201" t="str">
        <f>('14. Facility 3 Warehouse'!G34/365)*$D$46</f>
        <v>  33,340 </v>
      </c>
      <c r="I46" s="201" t="str">
        <f>('14. Facility 3 Warehouse'!H34/365)*$D$46</f>
        <v>  35,007 </v>
      </c>
      <c r="J46" s="201" t="str">
        <f>('14. Facility 3 Warehouse'!I34/365)*$D$46</f>
        <v>  36,757 </v>
      </c>
      <c r="K46" s="201" t="str">
        <f>('14. Facility 3 Warehouse'!J34/365)*$D$46</f>
        <v>  38,595 </v>
      </c>
    </row>
    <row r="47" ht="15.75" customHeight="1">
      <c r="B47" s="83"/>
      <c r="C47" s="86" t="str">
        <f t="shared" si="16"/>
        <v>Processing Unit - Horti Commodity</v>
      </c>
      <c r="D47" s="74">
        <v>0.0</v>
      </c>
      <c r="E47" s="201" t="str">
        <f>('17.Facility 6 Horti Processing '!D177/365)*$D$47</f>
        <v>  -   </v>
      </c>
      <c r="F47" s="201" t="str">
        <f>('17.Facility 6 Horti Processing '!E177/365)*$D$47</f>
        <v>  -   </v>
      </c>
      <c r="G47" s="201" t="str">
        <f>('17.Facility 6 Horti Processing '!F177/365)*$D$47</f>
        <v>  -   </v>
      </c>
      <c r="H47" s="201" t="str">
        <f>('17.Facility 6 Horti Processing '!G177/365)*$D$47</f>
        <v>  -   </v>
      </c>
      <c r="I47" s="201" t="str">
        <f>('17.Facility 6 Horti Processing '!H177/365)*$D$47</f>
        <v>  -   </v>
      </c>
      <c r="J47" s="201" t="str">
        <f>('17.Facility 6 Horti Processing '!I177/365)*$D$47</f>
        <v>  -   </v>
      </c>
      <c r="K47" s="201" t="str">
        <f>('17.Facility 6 Horti Processing '!J177/365)*$D$47</f>
        <v>  -   </v>
      </c>
    </row>
    <row r="48" ht="15.75" customHeight="1">
      <c r="B48" s="83"/>
      <c r="C48" s="86"/>
      <c r="D48" s="74"/>
      <c r="E48" s="201"/>
      <c r="F48" s="201"/>
      <c r="G48" s="201"/>
      <c r="H48" s="201"/>
      <c r="I48" s="201"/>
      <c r="J48" s="201"/>
      <c r="K48" s="201"/>
    </row>
    <row r="49" ht="15.75" customHeight="1">
      <c r="B49" s="204"/>
      <c r="C49" s="82" t="s">
        <v>89</v>
      </c>
      <c r="D49" s="74"/>
      <c r="E49" s="203" t="str">
        <f t="shared" ref="E49:K49" si="17">SUM(E42:E48)</f>
        <v>  4,920,842 </v>
      </c>
      <c r="F49" s="203" t="str">
        <f t="shared" si="17"/>
        <v>  9,248,317 </v>
      </c>
      <c r="G49" s="203" t="str">
        <f t="shared" si="17"/>
        <v>  11,189,061 </v>
      </c>
      <c r="H49" s="203" t="str">
        <f t="shared" si="17"/>
        <v>  13,300,757 </v>
      </c>
      <c r="I49" s="203" t="str">
        <f t="shared" si="17"/>
        <v>  15,595,651 </v>
      </c>
      <c r="J49" s="203" t="str">
        <f t="shared" si="17"/>
        <v>  18,086,783 </v>
      </c>
      <c r="K49" s="203" t="str">
        <f t="shared" si="17"/>
        <v>  20,788,038 </v>
      </c>
    </row>
    <row r="50" ht="15.75" customHeight="1">
      <c r="B50" s="81" t="s">
        <v>370</v>
      </c>
      <c r="C50" s="82" t="s">
        <v>88</v>
      </c>
      <c r="D50" s="74"/>
      <c r="E50" s="203" t="str">
        <f t="shared" ref="E50:K50" si="18">E39-E49</f>
        <v>  40,387,021 </v>
      </c>
      <c r="F50" s="203" t="str">
        <f t="shared" si="18"/>
        <v>  50,255,913 </v>
      </c>
      <c r="G50" s="203" t="str">
        <f t="shared" si="18"/>
        <v>  60,434,308 </v>
      </c>
      <c r="H50" s="203" t="str">
        <f t="shared" si="18"/>
        <v>  71,504,901 </v>
      </c>
      <c r="I50" s="203" t="str">
        <f t="shared" si="18"/>
        <v>  83,531,469 </v>
      </c>
      <c r="J50" s="203" t="str">
        <f t="shared" si="18"/>
        <v>  96,553,608 </v>
      </c>
      <c r="K50" s="203" t="str">
        <f t="shared" si="18"/>
        <v>  110,669,132 </v>
      </c>
    </row>
    <row r="51" ht="15.75" customHeight="1">
      <c r="B51" s="81"/>
      <c r="C51" s="82" t="s">
        <v>96</v>
      </c>
      <c r="D51" s="205">
        <v>0.75</v>
      </c>
      <c r="E51" s="203" t="str">
        <f>E50*$D$51</f>
        <v>  30,290,266 </v>
      </c>
      <c r="F51" s="203"/>
      <c r="G51" s="203"/>
      <c r="H51" s="203"/>
      <c r="I51" s="203"/>
      <c r="J51" s="203"/>
      <c r="K51" s="203"/>
    </row>
    <row r="52" ht="15.75" customHeight="1"/>
    <row r="53" ht="15.75" customHeight="1">
      <c r="E53" s="206"/>
    </row>
    <row r="54" ht="36.75" customHeight="1">
      <c r="A54" s="207" t="s">
        <v>371</v>
      </c>
    </row>
    <row r="55" ht="15.75" customHeight="1">
      <c r="A55" t="s">
        <v>372</v>
      </c>
    </row>
    <row r="56" ht="15.75" customHeight="1">
      <c r="A56">
        <v>1.0</v>
      </c>
      <c r="B56" t="s">
        <v>373</v>
      </c>
    </row>
    <row r="57" ht="15.75" customHeight="1">
      <c r="A57">
        <v>2.0</v>
      </c>
      <c r="B57" t="s">
        <v>374</v>
      </c>
    </row>
    <row r="58" ht="15.75" customHeight="1">
      <c r="A58">
        <v>3.0</v>
      </c>
      <c r="B58" t="s">
        <v>375</v>
      </c>
    </row>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N5:R5"/>
    <mergeCell ref="U4:V4"/>
    <mergeCell ref="U5:V5"/>
    <mergeCell ref="C2:K2"/>
    <mergeCell ref="N4:R4"/>
    <mergeCell ref="A54:L54"/>
    <mergeCell ref="B24:K24"/>
    <mergeCell ref="B25:B26"/>
    <mergeCell ref="C25:C26"/>
    <mergeCell ref="B39:C39"/>
    <mergeCell ref="D25:D26"/>
    <mergeCell ref="E25:K25"/>
    <mergeCell ref="A21:K21"/>
  </mergeCells>
  <printOptions/>
  <pageMargins bottom="0.7480314960629921" footer="0.0" header="0.0" left="0.7086614173228347" right="0.7086614173228347" top="0.7480314960629921"/>
  <pageSetup paperSize="9" scale="5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57"/>
    <col customWidth="1" min="2" max="2" width="17.71"/>
    <col customWidth="1" min="3" max="3" width="16.57"/>
    <col customWidth="1" min="4" max="4" width="16.86"/>
    <col customWidth="1" min="5" max="5" width="17.0"/>
    <col customWidth="1" min="6" max="6" width="17.57"/>
    <col customWidth="1" min="7" max="7" width="17.86"/>
    <col customWidth="1" min="8" max="8" width="16.86"/>
    <col customWidth="1" min="9" max="9" width="8.57"/>
    <col customWidth="1" min="10" max="10" width="10.14"/>
    <col customWidth="1" min="11" max="11" width="8.71"/>
  </cols>
  <sheetData>
    <row r="2">
      <c r="A2" s="26" t="s">
        <v>376</v>
      </c>
    </row>
    <row r="3">
      <c r="A3" s="113" t="s">
        <v>174</v>
      </c>
      <c r="B3" s="114" t="s">
        <v>177</v>
      </c>
      <c r="C3" s="114" t="s">
        <v>178</v>
      </c>
      <c r="D3" s="114" t="s">
        <v>179</v>
      </c>
      <c r="E3" s="114" t="s">
        <v>180</v>
      </c>
      <c r="F3" s="114" t="s">
        <v>181</v>
      </c>
      <c r="G3" s="114" t="s">
        <v>182</v>
      </c>
      <c r="H3" s="114" t="s">
        <v>183</v>
      </c>
    </row>
    <row r="4">
      <c r="A4" s="117" t="s">
        <v>377</v>
      </c>
      <c r="B4" s="85"/>
      <c r="C4" s="85"/>
      <c r="D4" s="85"/>
      <c r="E4" s="85"/>
      <c r="F4" s="85"/>
      <c r="G4" s="85"/>
      <c r="H4" s="85"/>
    </row>
    <row r="5">
      <c r="A5" s="85"/>
      <c r="B5" s="85"/>
      <c r="C5" s="85"/>
      <c r="D5" s="85"/>
      <c r="E5" s="85"/>
      <c r="F5" s="85"/>
      <c r="G5" s="85"/>
      <c r="H5" s="85"/>
    </row>
    <row r="6">
      <c r="A6" s="85" t="s">
        <v>378</v>
      </c>
      <c r="B6" s="116" t="str">
        <f>'12.Facility 1 - Trading'!D229</f>
        <v>  67,496,439 </v>
      </c>
      <c r="C6" s="116" t="str">
        <f>'12.Facility 1 - Trading'!E229</f>
        <v>  129,631,065 </v>
      </c>
      <c r="D6" s="116" t="str">
        <f>'12.Facility 1 - Trading'!F229</f>
        <v>  156,730,976 </v>
      </c>
      <c r="E6" s="116" t="str">
        <f>'12.Facility 1 - Trading'!G229</f>
        <v>  186,216,801 </v>
      </c>
      <c r="F6" s="116" t="str">
        <f>'12.Facility 1 - Trading'!H229</f>
        <v>  218,259,381 </v>
      </c>
      <c r="G6" s="116" t="str">
        <f>'12.Facility 1 - Trading'!I229</f>
        <v>  253,040,676 </v>
      </c>
      <c r="H6" s="116" t="str">
        <f>'12.Facility 1 - Trading'!J229</f>
        <v>  290,754,453 </v>
      </c>
    </row>
    <row r="7">
      <c r="A7" s="85" t="s">
        <v>379</v>
      </c>
      <c r="B7" s="116" t="str">
        <f>'13.Facility 2 Grain Processing'!D151</f>
        <v>  3,638,988 </v>
      </c>
      <c r="C7" s="116" t="str">
        <f>'13.Facility 2 Grain Processing'!E151</f>
        <v>  5,898,407 </v>
      </c>
      <c r="D7" s="116" t="str">
        <f>'13.Facility 2 Grain Processing'!F151</f>
        <v>  8,286,995 </v>
      </c>
      <c r="E7" s="116" t="str">
        <f>'13.Facility 2 Grain Processing'!G151</f>
        <v>  10,899,695 </v>
      </c>
      <c r="F7" s="116" t="str">
        <f>'13.Facility 2 Grain Processing'!H151</f>
        <v>  13,752,948 </v>
      </c>
      <c r="G7" s="116" t="str">
        <f>'13.Facility 2 Grain Processing'!I151</f>
        <v>  16,864,277 </v>
      </c>
      <c r="H7" s="116" t="str">
        <f>'13.Facility 2 Grain Processing'!J151</f>
        <v>  20,252,357 </v>
      </c>
    </row>
    <row r="8">
      <c r="A8" s="85" t="s">
        <v>380</v>
      </c>
      <c r="B8" s="116" t="str">
        <f>'14. Facility 3 Warehouse'!D23</f>
        <v>  4,320,000 </v>
      </c>
      <c r="C8" s="116" t="str">
        <f>'14. Facility 3 Warehouse'!E23</f>
        <v>  4,819,500 </v>
      </c>
      <c r="D8" s="116" t="str">
        <f>'14. Facility 3 Warehouse'!F23</f>
        <v>  5,358,150 </v>
      </c>
      <c r="E8" s="116" t="str">
        <f>'14. Facility 3 Warehouse'!G23</f>
        <v>  5,938,616 </v>
      </c>
      <c r="F8" s="116" t="str">
        <f>'14. Facility 3 Warehouse'!H23</f>
        <v>  6,563,734 </v>
      </c>
      <c r="G8" s="116" t="str">
        <f>'14. Facility 3 Warehouse'!I23</f>
        <v>  6,891,920 </v>
      </c>
      <c r="H8" s="116" t="str">
        <f>'14. Facility 3 Warehouse'!J23</f>
        <v>  7,236,516 </v>
      </c>
    </row>
    <row r="9">
      <c r="A9" s="85" t="s">
        <v>381</v>
      </c>
      <c r="B9" s="116" t="str">
        <f>'15. Facility 4 Custom Hiring'!E39</f>
        <v>  -   </v>
      </c>
      <c r="C9" s="116" t="str">
        <f>'15. Facility 4 Custom Hiring'!F39</f>
        <v>  -   </v>
      </c>
      <c r="D9" s="116" t="str">
        <f>'15. Facility 4 Custom Hiring'!G39</f>
        <v>  -   </v>
      </c>
      <c r="E9" s="116" t="str">
        <f>'15. Facility 4 Custom Hiring'!H39</f>
        <v>  -   </v>
      </c>
      <c r="F9" s="116" t="str">
        <f>'15. Facility 4 Custom Hiring'!I39</f>
        <v>  -   </v>
      </c>
      <c r="G9" s="116" t="str">
        <f>'15. Facility 4 Custom Hiring'!J39</f>
        <v>  -   </v>
      </c>
      <c r="H9" s="116" t="str">
        <f>'15. Facility 4 Custom Hiring'!K39</f>
        <v>  -   </v>
      </c>
    </row>
    <row r="10">
      <c r="A10" s="85" t="s">
        <v>382</v>
      </c>
      <c r="B10" s="116" t="str">
        <f>'16.Facility 5 Agri Input'!D191</f>
        <v>  -   </v>
      </c>
      <c r="C10" s="116" t="str">
        <f>'16.Facility 5 Agri Input'!E191</f>
        <v>  -   </v>
      </c>
      <c r="D10" s="116" t="str">
        <f>'16.Facility 5 Agri Input'!F191</f>
        <v>  -   </v>
      </c>
      <c r="E10" s="116" t="str">
        <f>'16.Facility 5 Agri Input'!G191</f>
        <v>  -   </v>
      </c>
      <c r="F10" s="116" t="str">
        <f>'16.Facility 5 Agri Input'!H191</f>
        <v>  -   </v>
      </c>
      <c r="G10" s="116" t="str">
        <f>'16.Facility 5 Agri Input'!I191</f>
        <v>  -   </v>
      </c>
      <c r="H10" s="116" t="str">
        <f>'16.Facility 5 Agri Input'!J191</f>
        <v>  -   </v>
      </c>
    </row>
    <row r="11">
      <c r="A11" s="85" t="s">
        <v>383</v>
      </c>
      <c r="B11" s="116" t="str">
        <f>'17.Facility 6 Horti Processing '!D159</f>
        <v>  -   </v>
      </c>
      <c r="C11" s="116" t="str">
        <f>'17.Facility 6 Horti Processing '!E159</f>
        <v>  -   </v>
      </c>
      <c r="D11" s="116" t="str">
        <f>'17.Facility 6 Horti Processing '!F159</f>
        <v>  -   </v>
      </c>
      <c r="E11" s="116" t="str">
        <f>'17.Facility 6 Horti Processing '!G159</f>
        <v>  -   </v>
      </c>
      <c r="F11" s="116" t="str">
        <f>'17.Facility 6 Horti Processing '!H159</f>
        <v>  -   </v>
      </c>
      <c r="G11" s="116" t="str">
        <f>'17.Facility 6 Horti Processing '!I159</f>
        <v>  -   </v>
      </c>
      <c r="H11" s="116" t="str">
        <f>'17.Facility 6 Horti Processing '!J159</f>
        <v>  -   </v>
      </c>
    </row>
    <row r="12">
      <c r="A12" s="85"/>
      <c r="B12" s="116"/>
      <c r="C12" s="116"/>
      <c r="D12" s="116"/>
      <c r="E12" s="116"/>
      <c r="F12" s="116"/>
      <c r="G12" s="116"/>
      <c r="H12" s="116"/>
    </row>
    <row r="13">
      <c r="A13" s="117" t="s">
        <v>384</v>
      </c>
      <c r="B13" s="118" t="str">
        <f t="shared" ref="B13:H13" si="1">SUM(B6:B12)</f>
        <v>  75,455,427 </v>
      </c>
      <c r="C13" s="118" t="str">
        <f t="shared" si="1"/>
        <v>  140,348,972 </v>
      </c>
      <c r="D13" s="118" t="str">
        <f t="shared" si="1"/>
        <v>  170,376,121 </v>
      </c>
      <c r="E13" s="118" t="str">
        <f t="shared" si="1"/>
        <v>  203,055,112 </v>
      </c>
      <c r="F13" s="118" t="str">
        <f t="shared" si="1"/>
        <v>  238,576,063 </v>
      </c>
      <c r="G13" s="118" t="str">
        <f t="shared" si="1"/>
        <v>  276,796,874 </v>
      </c>
      <c r="H13" s="118" t="str">
        <f t="shared" si="1"/>
        <v>  318,243,327 </v>
      </c>
    </row>
    <row r="14">
      <c r="A14" s="85"/>
      <c r="B14" s="116"/>
      <c r="C14" s="116"/>
      <c r="D14" s="116"/>
      <c r="E14" s="116"/>
      <c r="F14" s="116"/>
      <c r="G14" s="116"/>
      <c r="H14" s="116"/>
    </row>
    <row r="15">
      <c r="A15" s="117" t="s">
        <v>385</v>
      </c>
      <c r="B15" s="116"/>
      <c r="C15" s="116"/>
      <c r="D15" s="116"/>
      <c r="E15" s="116"/>
      <c r="F15" s="116"/>
      <c r="G15" s="116"/>
      <c r="H15" s="116"/>
    </row>
    <row r="16">
      <c r="A16" s="85" t="str">
        <f t="shared" ref="A16:A21" si="2">A6</f>
        <v>Faclitiy 1 - Trading Activity</v>
      </c>
      <c r="B16" s="116" t="str">
        <f>'12.Facility 1 - Trading'!D292</f>
        <v>  59,132,912 </v>
      </c>
      <c r="C16" s="116" t="str">
        <f>'12.Facility 1 - Trading'!E292</f>
        <v>  111,361,601 </v>
      </c>
      <c r="D16" s="116" t="str">
        <f>'12.Facility 1 - Trading'!F292</f>
        <v>  134,607,016 </v>
      </c>
      <c r="E16" s="116" t="str">
        <f>'12.Facility 1 - Trading'!G292</f>
        <v>  159,898,569 </v>
      </c>
      <c r="F16" s="116" t="str">
        <f>'12.Facility 1 - Trading'!H292</f>
        <v>  187,382,759 </v>
      </c>
      <c r="G16" s="116" t="str">
        <f>'12.Facility 1 - Trading'!I292</f>
        <v>  217,215,621 </v>
      </c>
      <c r="H16" s="116" t="str">
        <f>'12.Facility 1 - Trading'!J292</f>
        <v>  249,563,313 </v>
      </c>
    </row>
    <row r="17">
      <c r="A17" s="85" t="str">
        <f t="shared" si="2"/>
        <v>Faclitiy 2 - Processing Unit- Cleaning, Grading</v>
      </c>
      <c r="B17" s="116" t="str">
        <f>'13.Facility 2 Grain Processing'!D172</f>
        <v>  386,928 </v>
      </c>
      <c r="C17" s="116" t="str">
        <f>'13.Facility 2 Grain Processing'!E172</f>
        <v>  791,674 </v>
      </c>
      <c r="D17" s="116" t="str">
        <f>'13.Facility 2 Grain Processing'!F172</f>
        <v>  1,140,239 </v>
      </c>
      <c r="E17" s="116" t="str">
        <f>'13.Facility 2 Grain Processing'!G172</f>
        <v>  1,521,682 </v>
      </c>
      <c r="F17" s="116" t="str">
        <f>'13.Facility 2 Grain Processing'!H172</f>
        <v>  1,938,419 </v>
      </c>
      <c r="G17" s="116" t="str">
        <f>'13.Facility 2 Grain Processing'!I172</f>
        <v>  2,393,025 </v>
      </c>
      <c r="H17" s="116" t="str">
        <f>'13.Facility 2 Grain Processing'!J172</f>
        <v>  2,888,245 </v>
      </c>
    </row>
    <row r="18">
      <c r="A18" s="85" t="str">
        <f t="shared" si="2"/>
        <v>Faclitiy 3 - Warehouse</v>
      </c>
      <c r="B18" s="116" t="str">
        <f>'14. Facility 3 Warehouse'!D34</f>
        <v>  350,400 </v>
      </c>
      <c r="C18" s="116" t="str">
        <f>'14. Facility 3 Warehouse'!E34</f>
        <v>  367,920 </v>
      </c>
      <c r="D18" s="116" t="str">
        <f>'14. Facility 3 Warehouse'!F34</f>
        <v>  386,316 </v>
      </c>
      <c r="E18" s="116" t="str">
        <f>'14. Facility 3 Warehouse'!G34</f>
        <v>  405,632 </v>
      </c>
      <c r="F18" s="116" t="str">
        <f>'14. Facility 3 Warehouse'!H34</f>
        <v>  425,913 </v>
      </c>
      <c r="G18" s="116" t="str">
        <f>'14. Facility 3 Warehouse'!I34</f>
        <v>  447,209 </v>
      </c>
      <c r="H18" s="116" t="str">
        <f>'14. Facility 3 Warehouse'!J34</f>
        <v>  469,570 </v>
      </c>
    </row>
    <row r="19">
      <c r="A19" s="85" t="str">
        <f t="shared" si="2"/>
        <v>Faclitiy 4 - Custom Hiring </v>
      </c>
      <c r="B19" s="116" t="str">
        <f>'15. Facility 4 Custom Hiring'!E49</f>
        <v>  -   </v>
      </c>
      <c r="C19" s="116" t="str">
        <f>'15. Facility 4 Custom Hiring'!F49</f>
        <v>  -   </v>
      </c>
      <c r="D19" s="116" t="str">
        <f>'15. Facility 4 Custom Hiring'!G49</f>
        <v>  -   </v>
      </c>
      <c r="E19" s="116" t="str">
        <f>'15. Facility 4 Custom Hiring'!H49</f>
        <v>  -   </v>
      </c>
      <c r="F19" s="116" t="str">
        <f>'15. Facility 4 Custom Hiring'!I49</f>
        <v>  -   </v>
      </c>
      <c r="G19" s="116" t="str">
        <f>'15. Facility 4 Custom Hiring'!J49</f>
        <v>  -   </v>
      </c>
      <c r="H19" s="116" t="str">
        <f>'15. Facility 4 Custom Hiring'!K49</f>
        <v>  -   </v>
      </c>
    </row>
    <row r="20">
      <c r="A20" s="85" t="str">
        <f t="shared" si="2"/>
        <v>Faclitiy 5 - Agri Input Centre</v>
      </c>
      <c r="B20" s="116" t="str">
        <f>'16.Facility 5 Agri Input'!D262</f>
        <v>  -   </v>
      </c>
      <c r="C20" s="116" t="str">
        <f>'16.Facility 5 Agri Input'!E262</f>
        <v>  -   </v>
      </c>
      <c r="D20" s="116" t="str">
        <f>'16.Facility 5 Agri Input'!F262</f>
        <v>  -   </v>
      </c>
      <c r="E20" s="116" t="str">
        <f>'16.Facility 5 Agri Input'!G262</f>
        <v>  -   </v>
      </c>
      <c r="F20" s="116" t="str">
        <f>'16.Facility 5 Agri Input'!H262</f>
        <v>  -   </v>
      </c>
      <c r="G20" s="116" t="str">
        <f>'16.Facility 5 Agri Input'!I262</f>
        <v>  -   </v>
      </c>
      <c r="H20" s="116" t="str">
        <f>'16.Facility 5 Agri Input'!J262</f>
        <v>  -   </v>
      </c>
    </row>
    <row r="21" ht="15.75" customHeight="1">
      <c r="A21" s="85" t="str">
        <f t="shared" si="2"/>
        <v>Facility 6 - Processing Unit - Horti Commodity</v>
      </c>
      <c r="B21" s="116" t="str">
        <f>'17.Facility 6 Horti Processing '!D177</f>
        <v>  -   </v>
      </c>
      <c r="C21" s="116" t="str">
        <f>'17.Facility 6 Horti Processing '!E177</f>
        <v>  -   </v>
      </c>
      <c r="D21" s="116" t="str">
        <f>'17.Facility 6 Horti Processing '!F177</f>
        <v>  -   </v>
      </c>
      <c r="E21" s="116" t="str">
        <f>'17.Facility 6 Horti Processing '!G177</f>
        <v>  -   </v>
      </c>
      <c r="F21" s="116" t="str">
        <f>'17.Facility 6 Horti Processing '!H177</f>
        <v>  -   </v>
      </c>
      <c r="G21" s="116" t="str">
        <f>'17.Facility 6 Horti Processing '!I177</f>
        <v>  -   </v>
      </c>
      <c r="H21" s="116" t="str">
        <f>'17.Facility 6 Horti Processing '!J177</f>
        <v>  -   </v>
      </c>
    </row>
    <row r="22" ht="15.75" customHeight="1">
      <c r="A22" s="85"/>
      <c r="B22" s="116"/>
      <c r="C22" s="116"/>
      <c r="D22" s="116"/>
      <c r="E22" s="116"/>
      <c r="F22" s="116"/>
      <c r="G22" s="116"/>
      <c r="H22" s="116"/>
    </row>
    <row r="23" ht="15.75" customHeight="1">
      <c r="A23" s="117" t="s">
        <v>386</v>
      </c>
      <c r="B23" s="118" t="str">
        <f t="shared" ref="B23:H23" si="3">SUM(B16:B22)</f>
        <v>  59,870,240 </v>
      </c>
      <c r="C23" s="118" t="str">
        <f t="shared" si="3"/>
        <v>  112,521,195 </v>
      </c>
      <c r="D23" s="118" t="str">
        <f t="shared" si="3"/>
        <v>  136,133,572 </v>
      </c>
      <c r="E23" s="118" t="str">
        <f t="shared" si="3"/>
        <v>  161,825,883 </v>
      </c>
      <c r="F23" s="118" t="str">
        <f t="shared" si="3"/>
        <v>  189,747,091 </v>
      </c>
      <c r="G23" s="118" t="str">
        <f t="shared" si="3"/>
        <v>  220,055,855 </v>
      </c>
      <c r="H23" s="118" t="str">
        <f t="shared" si="3"/>
        <v>  252,921,128 </v>
      </c>
    </row>
    <row r="24" ht="15.75" customHeight="1">
      <c r="A24" s="85"/>
      <c r="B24" s="116"/>
      <c r="C24" s="116"/>
      <c r="D24" s="116"/>
      <c r="E24" s="116"/>
      <c r="F24" s="116"/>
      <c r="G24" s="116"/>
      <c r="H24" s="116"/>
    </row>
    <row r="25" ht="15.75" customHeight="1">
      <c r="A25" s="117" t="s">
        <v>387</v>
      </c>
      <c r="B25" s="116"/>
      <c r="C25" s="116"/>
      <c r="D25" s="116"/>
      <c r="E25" s="116"/>
      <c r="F25" s="116"/>
      <c r="G25" s="116"/>
      <c r="H25" s="116"/>
    </row>
    <row r="26" ht="15.75" customHeight="1">
      <c r="A26" s="85" t="str">
        <f t="shared" ref="A26:A31" si="4">A16</f>
        <v>Faclitiy 1 - Trading Activity</v>
      </c>
      <c r="B26" s="116" t="str">
        <f>'12.Facility 1 - Trading'!D301</f>
        <v>  1,800,000 </v>
      </c>
      <c r="C26" s="116" t="str">
        <f>'12.Facility 1 - Trading'!E301</f>
        <v>  1,890,000 </v>
      </c>
      <c r="D26" s="116" t="str">
        <f>'12.Facility 1 - Trading'!F301</f>
        <v>  1,984,500 </v>
      </c>
      <c r="E26" s="116" t="str">
        <f>'12.Facility 1 - Trading'!G301</f>
        <v>  2,083,725 </v>
      </c>
      <c r="F26" s="116" t="str">
        <f>'12.Facility 1 - Trading'!H301</f>
        <v>  2,187,911 </v>
      </c>
      <c r="G26" s="116" t="str">
        <f>'12.Facility 1 - Trading'!I301</f>
        <v>  2,297,307 </v>
      </c>
      <c r="H26" s="116" t="str">
        <f>'12.Facility 1 - Trading'!J301</f>
        <v>  2,412,172 </v>
      </c>
    </row>
    <row r="27" ht="15.75" customHeight="1">
      <c r="A27" s="85" t="str">
        <f t="shared" si="4"/>
        <v>Faclitiy 2 - Processing Unit- Cleaning, Grading</v>
      </c>
      <c r="B27" s="116" t="str">
        <f>'13.Facility 2 Grain Processing'!D180</f>
        <v>  120,000 </v>
      </c>
      <c r="C27" s="116" t="str">
        <f>'13.Facility 2 Grain Processing'!E180</f>
        <v>  126,000 </v>
      </c>
      <c r="D27" s="116" t="str">
        <f>'13.Facility 2 Grain Processing'!F180</f>
        <v>  132,300 </v>
      </c>
      <c r="E27" s="116" t="str">
        <f>'13.Facility 2 Grain Processing'!G180</f>
        <v>  138,915 </v>
      </c>
      <c r="F27" s="116" t="str">
        <f>'13.Facility 2 Grain Processing'!H180</f>
        <v>  145,861 </v>
      </c>
      <c r="G27" s="116" t="str">
        <f>'13.Facility 2 Grain Processing'!I180</f>
        <v>  153,154 </v>
      </c>
      <c r="H27" s="116" t="str">
        <f>'13.Facility 2 Grain Processing'!J180</f>
        <v>  160,811 </v>
      </c>
    </row>
    <row r="28" ht="15.75" customHeight="1">
      <c r="A28" s="85" t="str">
        <f t="shared" si="4"/>
        <v>Faclitiy 3 - Warehouse</v>
      </c>
      <c r="B28" s="116" t="str">
        <f>'14. Facility 3 Warehouse'!D43</f>
        <v>  180,000 </v>
      </c>
      <c r="C28" s="116" t="str">
        <f>'14. Facility 3 Warehouse'!E43</f>
        <v>  189,000 </v>
      </c>
      <c r="D28" s="116" t="str">
        <f>'14. Facility 3 Warehouse'!F43</f>
        <v>  198,450 </v>
      </c>
      <c r="E28" s="116" t="str">
        <f>'14. Facility 3 Warehouse'!G43</f>
        <v>  208,373 </v>
      </c>
      <c r="F28" s="116" t="str">
        <f>'14. Facility 3 Warehouse'!H43</f>
        <v>  218,791 </v>
      </c>
      <c r="G28" s="116" t="str">
        <f>'14. Facility 3 Warehouse'!I43</f>
        <v>  229,731 </v>
      </c>
      <c r="H28" s="116" t="str">
        <f>'14. Facility 3 Warehouse'!J43</f>
        <v>  241,217 </v>
      </c>
    </row>
    <row r="29" ht="15.75" customHeight="1">
      <c r="A29" s="85" t="str">
        <f t="shared" si="4"/>
        <v>Faclitiy 4 - Custom Hiring </v>
      </c>
      <c r="B29" s="116" t="str">
        <f>'15. Facility 4 Custom Hiring'!E56</f>
        <v>  -   </v>
      </c>
      <c r="C29" s="116" t="str">
        <f>'15. Facility 4 Custom Hiring'!F56</f>
        <v>  -   </v>
      </c>
      <c r="D29" s="116" t="str">
        <f>'15. Facility 4 Custom Hiring'!G56</f>
        <v>  -   </v>
      </c>
      <c r="E29" s="116" t="str">
        <f>'15. Facility 4 Custom Hiring'!H56</f>
        <v>  -   </v>
      </c>
      <c r="F29" s="116" t="str">
        <f>'15. Facility 4 Custom Hiring'!I56</f>
        <v>  -   </v>
      </c>
      <c r="G29" s="116" t="str">
        <f>'15. Facility 4 Custom Hiring'!J56</f>
        <v>  -   </v>
      </c>
      <c r="H29" s="116" t="str">
        <f>'15. Facility 4 Custom Hiring'!K56</f>
        <v>  -   </v>
      </c>
    </row>
    <row r="30" ht="15.75" customHeight="1">
      <c r="A30" s="85" t="str">
        <f t="shared" si="4"/>
        <v>Faclitiy 5 - Agri Input Centre</v>
      </c>
      <c r="B30" s="116" t="str">
        <f>'16.Facility 5 Agri Input'!D273</f>
        <v>  -   </v>
      </c>
      <c r="C30" s="116" t="str">
        <f>'16.Facility 5 Agri Input'!E273</f>
        <v>  -   </v>
      </c>
      <c r="D30" s="116" t="str">
        <f>'16.Facility 5 Agri Input'!F273</f>
        <v>  -   </v>
      </c>
      <c r="E30" s="116" t="str">
        <f>'16.Facility 5 Agri Input'!G273</f>
        <v>  -   </v>
      </c>
      <c r="F30" s="116" t="str">
        <f>'16.Facility 5 Agri Input'!H273</f>
        <v>  -   </v>
      </c>
      <c r="G30" s="116" t="str">
        <f>'16.Facility 5 Agri Input'!I273</f>
        <v>  -   </v>
      </c>
      <c r="H30" s="116" t="str">
        <f>'16.Facility 5 Agri Input'!J273</f>
        <v>  -   </v>
      </c>
    </row>
    <row r="31" ht="15.75" customHeight="1">
      <c r="A31" s="85" t="str">
        <f t="shared" si="4"/>
        <v>Facility 6 - Processing Unit - Horti Commodity</v>
      </c>
      <c r="B31" s="116" t="str">
        <f>'17.Facility 6 Horti Processing '!D185</f>
        <v>  -   </v>
      </c>
      <c r="C31" s="116" t="str">
        <f>'17.Facility 6 Horti Processing '!E185</f>
        <v>  -   </v>
      </c>
      <c r="D31" s="116" t="str">
        <f>'17.Facility 6 Horti Processing '!F185</f>
        <v>  -   </v>
      </c>
      <c r="E31" s="116" t="str">
        <f>'17.Facility 6 Horti Processing '!G185</f>
        <v>  -   </v>
      </c>
      <c r="F31" s="116" t="str">
        <f>'17.Facility 6 Horti Processing '!H185</f>
        <v>  -   </v>
      </c>
      <c r="G31" s="116" t="str">
        <f>'17.Facility 6 Horti Processing '!I185</f>
        <v>  -   </v>
      </c>
      <c r="H31" s="116" t="str">
        <f>'17.Facility 6 Horti Processing '!J185</f>
        <v>  -   </v>
      </c>
    </row>
    <row r="32" ht="15.75" customHeight="1">
      <c r="A32" s="85"/>
      <c r="B32" s="116"/>
      <c r="C32" s="116"/>
      <c r="D32" s="116"/>
      <c r="E32" s="116"/>
      <c r="F32" s="116"/>
      <c r="G32" s="116"/>
      <c r="H32" s="116"/>
    </row>
    <row r="33" ht="15.75" customHeight="1">
      <c r="A33" s="85" t="s">
        <v>388</v>
      </c>
      <c r="B33" s="116" t="str">
        <f>'3.Other Exp &amp; Taxes'!E23</f>
        <v>  9,500,000 </v>
      </c>
      <c r="C33" s="116" t="str">
        <f>'3.Other Exp &amp; Taxes'!F23</f>
        <v>  9,975,000 </v>
      </c>
      <c r="D33" s="116" t="str">
        <f>'3.Other Exp &amp; Taxes'!G23</f>
        <v>  10,473,750 </v>
      </c>
      <c r="E33" s="116" t="str">
        <f>'3.Other Exp &amp; Taxes'!H23</f>
        <v>  10,997,438 </v>
      </c>
      <c r="F33" s="116" t="str">
        <f>'3.Other Exp &amp; Taxes'!I23</f>
        <v>  11,547,309 </v>
      </c>
      <c r="G33" s="116" t="str">
        <f>'3.Other Exp &amp; Taxes'!J23</f>
        <v>  12,124,675 </v>
      </c>
      <c r="H33" s="116" t="str">
        <f>'3.Other Exp &amp; Taxes'!K23</f>
        <v>  12,730,909 </v>
      </c>
    </row>
    <row r="34" ht="15.75" customHeight="1">
      <c r="A34" s="117" t="s">
        <v>389</v>
      </c>
      <c r="B34" s="118" t="str">
        <f t="shared" ref="B34:H34" si="5">SUM(B26:B33)</f>
        <v>  11,600,000 </v>
      </c>
      <c r="C34" s="118" t="str">
        <f t="shared" si="5"/>
        <v>  12,180,000 </v>
      </c>
      <c r="D34" s="118" t="str">
        <f t="shared" si="5"/>
        <v>  12,789,000 </v>
      </c>
      <c r="E34" s="118" t="str">
        <f t="shared" si="5"/>
        <v>  13,428,450 </v>
      </c>
      <c r="F34" s="118" t="str">
        <f t="shared" si="5"/>
        <v>  14,099,873 </v>
      </c>
      <c r="G34" s="118" t="str">
        <f t="shared" si="5"/>
        <v>  14,804,866 </v>
      </c>
      <c r="H34" s="118" t="str">
        <f t="shared" si="5"/>
        <v>  15,545,109 </v>
      </c>
    </row>
    <row r="35" ht="15.75" customHeight="1">
      <c r="A35" s="85"/>
      <c r="B35" s="116"/>
      <c r="C35" s="116"/>
      <c r="D35" s="116"/>
      <c r="E35" s="116"/>
      <c r="F35" s="116"/>
      <c r="G35" s="116"/>
      <c r="H35" s="116"/>
    </row>
    <row r="36" ht="15.75" customHeight="1">
      <c r="A36" s="117" t="s">
        <v>390</v>
      </c>
      <c r="B36" s="118" t="str">
        <f t="shared" ref="B36:H36" si="6">B23+B34</f>
        <v>  71,470,240 </v>
      </c>
      <c r="C36" s="118" t="str">
        <f t="shared" si="6"/>
        <v>  124,701,195 </v>
      </c>
      <c r="D36" s="118" t="str">
        <f t="shared" si="6"/>
        <v>  148,922,572 </v>
      </c>
      <c r="E36" s="118" t="str">
        <f t="shared" si="6"/>
        <v>  175,254,333 </v>
      </c>
      <c r="F36" s="118" t="str">
        <f t="shared" si="6"/>
        <v>  203,846,963 </v>
      </c>
      <c r="G36" s="118" t="str">
        <f t="shared" si="6"/>
        <v>  234,860,721 </v>
      </c>
      <c r="H36" s="118" t="str">
        <f t="shared" si="6"/>
        <v>  268,466,238 </v>
      </c>
    </row>
    <row r="37" ht="15.75" customHeight="1">
      <c r="A37" s="85"/>
      <c r="B37" s="116"/>
      <c r="C37" s="116"/>
      <c r="D37" s="116"/>
      <c r="E37" s="116"/>
      <c r="F37" s="116"/>
      <c r="G37" s="116"/>
      <c r="H37" s="116"/>
    </row>
    <row r="38" ht="15.75" customHeight="1">
      <c r="A38" s="117" t="s">
        <v>391</v>
      </c>
      <c r="B38" s="118" t="str">
        <f t="shared" ref="B38:H38" si="7">B13-B36</f>
        <v>  3,985,187 </v>
      </c>
      <c r="C38" s="118" t="str">
        <f t="shared" si="7"/>
        <v>  15,647,777 </v>
      </c>
      <c r="D38" s="118" t="str">
        <f t="shared" si="7"/>
        <v>  21,453,549 </v>
      </c>
      <c r="E38" s="118" t="str">
        <f t="shared" si="7"/>
        <v>  27,800,780 </v>
      </c>
      <c r="F38" s="118" t="str">
        <f t="shared" si="7"/>
        <v>  34,729,099 </v>
      </c>
      <c r="G38" s="118" t="str">
        <f t="shared" si="7"/>
        <v>  41,936,153 </v>
      </c>
      <c r="H38" s="118" t="str">
        <f t="shared" si="7"/>
        <v>  49,777,089 </v>
      </c>
      <c r="J38" s="208" t="str">
        <f>B47+B40+B41</f>
        <v>  350,355 </v>
      </c>
    </row>
    <row r="39" ht="15.75" customHeight="1">
      <c r="A39" s="85"/>
      <c r="B39" s="116"/>
      <c r="C39" s="116"/>
      <c r="D39" s="116"/>
      <c r="E39" s="116"/>
      <c r="F39" s="116"/>
      <c r="G39" s="116"/>
      <c r="H39" s="116"/>
      <c r="J39" s="209" t="str">
        <f>'5.Closing Stock &amp; W Capital'!E51</f>
        <v>  30,290,266 </v>
      </c>
    </row>
    <row r="40" ht="15.75" customHeight="1">
      <c r="A40" s="85" t="s">
        <v>203</v>
      </c>
      <c r="B40" s="116" t="str">
        <f>'3.Other Exp &amp; Taxes'!C66</f>
        <v>  1,085,185 </v>
      </c>
      <c r="C40" s="116" t="str">
        <f>'3.Other Exp &amp; Taxes'!D66</f>
        <v>  1,085,185 </v>
      </c>
      <c r="D40" s="116" t="str">
        <f>'3.Other Exp &amp; Taxes'!E66</f>
        <v>  1,085,185 </v>
      </c>
      <c r="E40" s="116" t="str">
        <f>'3.Other Exp &amp; Taxes'!F66</f>
        <v>  1,085,185 </v>
      </c>
      <c r="F40" s="116" t="str">
        <f>'3.Other Exp &amp; Taxes'!G66</f>
        <v>  1,085,185 </v>
      </c>
      <c r="G40" s="116" t="str">
        <f>'3.Other Exp &amp; Taxes'!H66</f>
        <v>  1,085,185 </v>
      </c>
      <c r="H40" s="116" t="str">
        <f>'3.Other Exp &amp; Taxes'!I66</f>
        <v>  1,085,185 </v>
      </c>
      <c r="J40" s="208" t="str">
        <f>J38+J39</f>
        <v>  30,640,621 </v>
      </c>
    </row>
    <row r="41" ht="15.75" customHeight="1">
      <c r="A41" s="85" t="s">
        <v>392</v>
      </c>
      <c r="B41" s="116" t="str">
        <f>'3.Other Exp &amp; Taxes'!C86</f>
        <v>  12,588 </v>
      </c>
      <c r="C41" s="116" t="str">
        <f>'3.Other Exp &amp; Taxes'!D86</f>
        <v>  12,588 </v>
      </c>
      <c r="D41" s="116" t="str">
        <f>'3.Other Exp &amp; Taxes'!E86</f>
        <v>  12,588 </v>
      </c>
      <c r="E41" s="116" t="str">
        <f>'3.Other Exp &amp; Taxes'!F86</f>
        <v>  12,588 </v>
      </c>
      <c r="F41" s="116" t="str">
        <f>'3.Other Exp &amp; Taxes'!G86</f>
        <v>  12,588 </v>
      </c>
      <c r="G41" s="116" t="str">
        <f>'3.Other Exp &amp; Taxes'!H86</f>
        <v>  -   </v>
      </c>
      <c r="H41" s="116" t="str">
        <f>'3.Other Exp &amp; Taxes'!I86</f>
        <v>  -   </v>
      </c>
    </row>
    <row r="42" ht="15.75" customHeight="1">
      <c r="A42" s="85"/>
      <c r="B42" s="116"/>
      <c r="C42" s="116"/>
      <c r="D42" s="116"/>
      <c r="E42" s="116"/>
      <c r="F42" s="116"/>
      <c r="G42" s="116"/>
      <c r="H42" s="116"/>
    </row>
    <row r="43" ht="15.75" customHeight="1">
      <c r="A43" s="117" t="s">
        <v>393</v>
      </c>
      <c r="B43" s="118" t="str">
        <f t="shared" ref="B43:H43" si="8">B38-B40-B41</f>
        <v>  2,887,414 </v>
      </c>
      <c r="C43" s="118" t="str">
        <f t="shared" si="8"/>
        <v>  14,550,004 </v>
      </c>
      <c r="D43" s="118" t="str">
        <f t="shared" si="8"/>
        <v>  20,355,776 </v>
      </c>
      <c r="E43" s="118" t="str">
        <f t="shared" si="8"/>
        <v>  26,703,007 </v>
      </c>
      <c r="F43" s="118" t="str">
        <f t="shared" si="8"/>
        <v>  33,631,326 </v>
      </c>
      <c r="G43" s="118" t="str">
        <f t="shared" si="8"/>
        <v>  40,850,968 </v>
      </c>
      <c r="H43" s="118" t="str">
        <f t="shared" si="8"/>
        <v>  48,691,904 </v>
      </c>
    </row>
    <row r="44" ht="15.75" customHeight="1">
      <c r="A44" s="85"/>
      <c r="B44" s="116"/>
      <c r="C44" s="116"/>
      <c r="D44" s="116"/>
      <c r="E44" s="116"/>
      <c r="F44" s="116"/>
      <c r="G44" s="116"/>
      <c r="H44" s="116"/>
    </row>
    <row r="45" ht="15.75" customHeight="1">
      <c r="A45" s="85" t="s">
        <v>394</v>
      </c>
      <c r="B45" s="116" t="str">
        <f>'8.Cash Flow '!C26+'8.Cash Flow '!C28</f>
        <v>  3,634,832 </v>
      </c>
      <c r="C45" s="116" t="str">
        <f>'8.Cash Flow '!D26+'8.Cash Flow '!D28</f>
        <v>  6,030,710 </v>
      </c>
      <c r="D45" s="116" t="str">
        <f>'8.Cash Flow '!E26+'8.Cash Flow '!E28</f>
        <v>  7,252,117 </v>
      </c>
      <c r="E45" s="116" t="str">
        <f>'8.Cash Flow '!F26+'8.Cash Flow '!F28</f>
        <v>  8,580,588 </v>
      </c>
      <c r="F45" s="116" t="str">
        <f>'8.Cash Flow '!G26+'8.Cash Flow '!G28</f>
        <v>  10,023,776 </v>
      </c>
      <c r="G45" s="116" t="str">
        <f>'8.Cash Flow '!H26+'8.Cash Flow '!H28</f>
        <v>  11,586,433 </v>
      </c>
      <c r="H45" s="116" t="str">
        <f>'8.Cash Flow '!I26+'8.Cash Flow '!I28</f>
        <v>  13,280,296 </v>
      </c>
    </row>
    <row r="46" ht="15.75" customHeight="1">
      <c r="A46" s="85"/>
      <c r="B46" s="116"/>
      <c r="C46" s="116"/>
      <c r="D46" s="116"/>
      <c r="E46" s="116"/>
      <c r="F46" s="116"/>
      <c r="G46" s="116"/>
      <c r="H46" s="116"/>
    </row>
    <row r="47" ht="15.75" customHeight="1">
      <c r="A47" s="85" t="s">
        <v>395</v>
      </c>
      <c r="B47" s="116" t="str">
        <f t="shared" ref="B47:H47" si="9">B43-B45</f>
        <v>  (747,418)</v>
      </c>
      <c r="C47" s="116" t="str">
        <f t="shared" si="9"/>
        <v>  8,519,294 </v>
      </c>
      <c r="D47" s="116" t="str">
        <f t="shared" si="9"/>
        <v>  13,103,659 </v>
      </c>
      <c r="E47" s="116" t="str">
        <f t="shared" si="9"/>
        <v>  18,122,419 </v>
      </c>
      <c r="F47" s="116" t="str">
        <f t="shared" si="9"/>
        <v>  23,607,550 </v>
      </c>
      <c r="G47" s="116" t="str">
        <f t="shared" si="9"/>
        <v>  29,264,535 </v>
      </c>
      <c r="H47" s="116" t="str">
        <f t="shared" si="9"/>
        <v>  35,411,608 </v>
      </c>
    </row>
    <row r="48" ht="15.75" customHeight="1">
      <c r="A48" s="85" t="s">
        <v>396</v>
      </c>
      <c r="B48" s="116" t="str">
        <f>'3.Other Exp &amp; Taxes'!B99</f>
        <v>  (688,839)</v>
      </c>
      <c r="C48" s="116" t="str">
        <f>'3.Other Exp &amp; Taxes'!C99</f>
        <v>  1,735,273 </v>
      </c>
      <c r="D48" s="116" t="str">
        <f>'3.Other Exp &amp; Taxes'!D99</f>
        <v>  2,968,791 </v>
      </c>
      <c r="E48" s="116" t="str">
        <f>'3.Other Exp &amp; Taxes'!E99</f>
        <v>  4,296,189 </v>
      </c>
      <c r="F48" s="116" t="str">
        <f>'3.Other Exp &amp; Taxes'!F99</f>
        <v>  5,728,971 </v>
      </c>
      <c r="G48" s="116" t="str">
        <f>'3.Other Exp &amp; Taxes'!G99</f>
        <v>  7,195,901 </v>
      </c>
      <c r="H48" s="116" t="str">
        <f>'3.Other Exp &amp; Taxes'!H99</f>
        <v>  8,778,230 </v>
      </c>
    </row>
    <row r="49" ht="15.75" customHeight="1">
      <c r="A49" s="117" t="s">
        <v>397</v>
      </c>
      <c r="B49" s="116" t="str">
        <f t="shared" ref="B49:H49" si="10">B47-B48</f>
        <v>  (58,579)</v>
      </c>
      <c r="C49" s="116" t="str">
        <f t="shared" si="10"/>
        <v>  6,784,021 </v>
      </c>
      <c r="D49" s="116" t="str">
        <f t="shared" si="10"/>
        <v>  10,134,869 </v>
      </c>
      <c r="E49" s="116" t="str">
        <f t="shared" si="10"/>
        <v>  13,826,229 </v>
      </c>
      <c r="F49" s="116" t="str">
        <f t="shared" si="10"/>
        <v>  17,878,579 </v>
      </c>
      <c r="G49" s="116" t="str">
        <f t="shared" si="10"/>
        <v>  22,068,634 </v>
      </c>
      <c r="H49" s="116" t="str">
        <f t="shared" si="10"/>
        <v>  26,633,378 </v>
      </c>
    </row>
    <row r="50" ht="15.75" customHeight="1">
      <c r="A50" s="110" t="s">
        <v>398</v>
      </c>
      <c r="B50" s="165" t="str">
        <f>B49</f>
        <v>  (58,579)</v>
      </c>
      <c r="C50" s="165" t="str">
        <f t="shared" ref="C50:H50" si="11">B50+C49</f>
        <v>  6,725,442 </v>
      </c>
      <c r="D50" s="165" t="str">
        <f t="shared" si="11"/>
        <v>  16,860,311 </v>
      </c>
      <c r="E50" s="165" t="str">
        <f t="shared" si="11"/>
        <v>  30,686,540 </v>
      </c>
      <c r="F50" s="165" t="str">
        <f t="shared" si="11"/>
        <v>  48,565,119 </v>
      </c>
      <c r="G50" s="165" t="str">
        <f t="shared" si="11"/>
        <v>  70,633,753 </v>
      </c>
      <c r="H50" s="165" t="str">
        <f t="shared" si="11"/>
        <v>  97,267,131 </v>
      </c>
    </row>
    <row r="51" ht="32.25" customHeight="1">
      <c r="A51" s="210" t="s">
        <v>399</v>
      </c>
    </row>
    <row r="52" ht="15.75" customHeight="1"/>
    <row r="53" ht="15.75" customHeight="1">
      <c r="A53" s="211"/>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1:I51"/>
  </mergeCells>
  <printOptions/>
  <pageMargins bottom="0.7480314960629921" footer="0.0" header="0.0" left="0.7086614173228347" right="0.7086614173228347" top="0.7480314960629921"/>
  <pageSetup scale="66"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7.29"/>
    <col customWidth="1" min="2" max="2" width="18.43"/>
    <col customWidth="1" min="3" max="3" width="16.43"/>
    <col customWidth="1" min="4" max="4" width="17.0"/>
    <col customWidth="1" min="5" max="5" width="18.57"/>
    <col customWidth="1" min="6" max="6" width="17.29"/>
    <col customWidth="1" min="7" max="7" width="16.14"/>
    <col customWidth="1" min="8" max="8" width="15.86"/>
    <col customWidth="1" min="9" max="9" width="9.14"/>
    <col customWidth="1" min="10" max="10" width="32.86"/>
    <col customWidth="1" min="11" max="16" width="8.71"/>
    <col customWidth="1" min="17" max="17" width="10.14"/>
    <col customWidth="1" min="18" max="18" width="9.14"/>
  </cols>
  <sheetData>
    <row r="1">
      <c r="A1" s="119"/>
      <c r="G1" s="212"/>
      <c r="H1" s="212"/>
      <c r="I1" s="212"/>
      <c r="J1" s="212"/>
      <c r="K1" s="212"/>
      <c r="L1" s="212"/>
      <c r="M1" s="212"/>
      <c r="N1" s="212"/>
      <c r="O1" s="212"/>
      <c r="P1" s="212"/>
      <c r="Q1" s="212"/>
      <c r="R1" s="212"/>
    </row>
    <row r="2">
      <c r="A2" s="213" t="s">
        <v>400</v>
      </c>
      <c r="I2" s="59"/>
      <c r="J2" s="212"/>
      <c r="K2" s="212"/>
      <c r="L2" s="212"/>
      <c r="M2" s="212"/>
      <c r="N2" s="212"/>
      <c r="O2" s="212"/>
      <c r="P2" s="212"/>
      <c r="Q2" s="212"/>
      <c r="R2" s="212"/>
    </row>
    <row r="3">
      <c r="A3" s="214" t="s">
        <v>174</v>
      </c>
      <c r="B3" s="215" t="s">
        <v>177</v>
      </c>
      <c r="C3" s="215" t="s">
        <v>178</v>
      </c>
      <c r="D3" s="215" t="s">
        <v>179</v>
      </c>
      <c r="E3" s="215" t="s">
        <v>180</v>
      </c>
      <c r="F3" s="215" t="s">
        <v>181</v>
      </c>
      <c r="G3" s="114" t="s">
        <v>182</v>
      </c>
      <c r="H3" s="114" t="s">
        <v>183</v>
      </c>
      <c r="I3" s="212"/>
      <c r="J3" s="212"/>
      <c r="K3" s="212"/>
      <c r="L3" s="212"/>
      <c r="M3" s="212"/>
      <c r="N3" s="212"/>
      <c r="O3" s="212"/>
      <c r="P3" s="212"/>
      <c r="Q3" s="212"/>
      <c r="R3" s="212"/>
    </row>
    <row r="4">
      <c r="A4" s="216"/>
      <c r="B4" s="217"/>
      <c r="C4" s="218"/>
      <c r="D4" s="218"/>
      <c r="E4" s="218"/>
      <c r="F4" s="218"/>
      <c r="G4" s="218"/>
      <c r="H4" s="218"/>
      <c r="I4" s="212"/>
      <c r="J4" s="212"/>
      <c r="K4" s="212"/>
      <c r="L4" s="212"/>
      <c r="M4" s="212"/>
      <c r="N4" s="212"/>
      <c r="O4" s="212"/>
      <c r="P4" s="212"/>
      <c r="Q4" s="212"/>
      <c r="R4" s="212"/>
    </row>
    <row r="5">
      <c r="A5" s="219" t="s">
        <v>401</v>
      </c>
      <c r="B5" s="220"/>
      <c r="C5" s="220"/>
      <c r="D5" s="220"/>
      <c r="E5" s="220"/>
      <c r="F5" s="220"/>
      <c r="G5" s="220"/>
      <c r="H5" s="220"/>
      <c r="I5" s="212"/>
      <c r="J5" s="212"/>
      <c r="K5" s="212"/>
      <c r="L5" s="212"/>
      <c r="M5" s="212"/>
      <c r="N5" s="212"/>
      <c r="O5" s="212"/>
      <c r="P5" s="212"/>
      <c r="Q5" s="212"/>
      <c r="R5" s="212"/>
    </row>
    <row r="6">
      <c r="A6" s="221" t="s">
        <v>402</v>
      </c>
      <c r="B6" s="222"/>
      <c r="C6" s="222"/>
      <c r="D6" s="222"/>
      <c r="E6" s="222"/>
      <c r="F6" s="222"/>
      <c r="G6" s="222"/>
      <c r="H6" s="222"/>
      <c r="I6" s="212"/>
      <c r="J6" s="212"/>
      <c r="K6" s="212"/>
      <c r="L6" s="212"/>
      <c r="M6" s="212"/>
      <c r="N6" s="212"/>
      <c r="O6" s="212"/>
      <c r="P6" s="212"/>
      <c r="Q6" s="212"/>
      <c r="R6" s="212"/>
    </row>
    <row r="7">
      <c r="A7" s="221" t="s">
        <v>403</v>
      </c>
      <c r="B7" s="223" t="str">
        <f>'8.Cash Flow '!C33</f>
        <v>31,329,460</v>
      </c>
      <c r="C7" s="223" t="str">
        <f>'8.Cash Flow '!D33</f>
        <v>39,211,254</v>
      </c>
      <c r="D7" s="223" t="str">
        <f>'8.Cash Flow '!E33</f>
        <v>50,443,895</v>
      </c>
      <c r="E7" s="223" t="str">
        <f>'8.Cash Flow '!F33</f>
        <v>65,367,897</v>
      </c>
      <c r="F7" s="223" t="str">
        <f>'8.Cash Flow '!G33</f>
        <v>84,344,250</v>
      </c>
      <c r="G7" s="223" t="str">
        <f>'8.Cash Flow '!H33</f>
        <v>107,498,068</v>
      </c>
      <c r="H7" s="223" t="str">
        <f>'8.Cash Flow '!I33</f>
        <v>135,216,631</v>
      </c>
      <c r="I7" s="212"/>
      <c r="J7" s="212"/>
      <c r="K7" s="224"/>
      <c r="L7" s="224"/>
      <c r="M7" s="224"/>
      <c r="N7" s="224"/>
      <c r="O7" s="224"/>
      <c r="P7" s="224"/>
      <c r="Q7" s="224"/>
      <c r="R7" s="224"/>
    </row>
    <row r="8">
      <c r="A8" s="225" t="s">
        <v>404</v>
      </c>
      <c r="B8" s="226"/>
      <c r="C8" s="226"/>
      <c r="D8" s="226"/>
      <c r="E8" s="226"/>
      <c r="F8" s="226"/>
      <c r="G8" s="226"/>
      <c r="H8" s="226"/>
      <c r="I8" s="212"/>
      <c r="J8" s="212"/>
      <c r="K8" s="224"/>
      <c r="L8" s="224"/>
      <c r="M8" s="224"/>
      <c r="N8" s="224"/>
      <c r="O8" s="224"/>
      <c r="P8" s="224"/>
      <c r="Q8" s="224"/>
      <c r="R8" s="224"/>
    </row>
    <row r="9">
      <c r="A9" s="225" t="s">
        <v>405</v>
      </c>
      <c r="B9" s="226"/>
      <c r="C9" s="226"/>
      <c r="D9" s="226"/>
      <c r="E9" s="226"/>
      <c r="F9" s="226"/>
      <c r="G9" s="226"/>
      <c r="H9" s="226"/>
      <c r="I9" s="212"/>
      <c r="J9" s="212"/>
      <c r="K9" s="224"/>
      <c r="L9" s="224"/>
      <c r="M9" s="224"/>
      <c r="N9" s="224"/>
      <c r="O9" s="224"/>
      <c r="P9" s="224"/>
      <c r="Q9" s="224"/>
      <c r="R9" s="224"/>
    </row>
    <row r="10">
      <c r="A10" s="221" t="s">
        <v>406</v>
      </c>
      <c r="B10" s="223" t="str">
        <f t="shared" ref="B10:H10" si="1">SUM(B7:B9)</f>
        <v>31,329,460</v>
      </c>
      <c r="C10" s="223" t="str">
        <f t="shared" si="1"/>
        <v>39,211,254</v>
      </c>
      <c r="D10" s="223" t="str">
        <f t="shared" si="1"/>
        <v>50,443,895</v>
      </c>
      <c r="E10" s="223" t="str">
        <f t="shared" si="1"/>
        <v>65,367,897</v>
      </c>
      <c r="F10" s="223" t="str">
        <f t="shared" si="1"/>
        <v>84,344,250</v>
      </c>
      <c r="G10" s="223" t="str">
        <f t="shared" si="1"/>
        <v>107,498,068</v>
      </c>
      <c r="H10" s="223" t="str">
        <f t="shared" si="1"/>
        <v>135,216,631</v>
      </c>
      <c r="I10" s="212"/>
      <c r="J10" s="212"/>
      <c r="K10" s="212"/>
      <c r="L10" s="212"/>
      <c r="M10" s="212"/>
      <c r="N10" s="212"/>
      <c r="O10" s="212"/>
      <c r="P10" s="212"/>
      <c r="Q10" s="212"/>
      <c r="R10" s="212"/>
    </row>
    <row r="11">
      <c r="A11" s="221"/>
      <c r="B11" s="226"/>
      <c r="C11" s="226"/>
      <c r="D11" s="226"/>
      <c r="E11" s="226"/>
      <c r="F11" s="226"/>
      <c r="G11" s="226"/>
      <c r="H11" s="226"/>
      <c r="I11" s="212"/>
      <c r="J11" s="224"/>
      <c r="K11" s="224"/>
      <c r="L11" s="224"/>
      <c r="M11" s="224"/>
      <c r="N11" s="224"/>
      <c r="O11" s="224"/>
      <c r="P11" s="224"/>
      <c r="Q11" s="224"/>
      <c r="R11" s="212"/>
    </row>
    <row r="12">
      <c r="A12" s="225" t="s">
        <v>407</v>
      </c>
      <c r="B12" s="226" t="str">
        <f>'3.Other Exp &amp; Taxes'!C65</f>
        <v>26,068,370</v>
      </c>
      <c r="C12" s="226" t="str">
        <f>'3.Other Exp &amp; Taxes'!D65</f>
        <v>24,983,185</v>
      </c>
      <c r="D12" s="226" t="str">
        <f>'3.Other Exp &amp; Taxes'!E65</f>
        <v>23,898,000</v>
      </c>
      <c r="E12" s="226" t="str">
        <f>'3.Other Exp &amp; Taxes'!F65</f>
        <v>22,812,815</v>
      </c>
      <c r="F12" s="226" t="str">
        <f>'3.Other Exp &amp; Taxes'!G65</f>
        <v>21,727,630</v>
      </c>
      <c r="G12" s="226" t="str">
        <f>'3.Other Exp &amp; Taxes'!H65</f>
        <v>20,642,446</v>
      </c>
      <c r="H12" s="226" t="str">
        <f>'3.Other Exp &amp; Taxes'!I65</f>
        <v>19,557,261</v>
      </c>
      <c r="I12" s="212"/>
      <c r="J12" s="212"/>
      <c r="K12" s="212"/>
      <c r="L12" s="212"/>
      <c r="M12" s="212"/>
      <c r="N12" s="212"/>
      <c r="O12" s="212"/>
      <c r="P12" s="212"/>
      <c r="Q12" s="212"/>
      <c r="R12" s="212"/>
    </row>
    <row r="13">
      <c r="A13" s="225" t="s">
        <v>408</v>
      </c>
      <c r="B13" s="226" t="str">
        <f>'3.Other Exp &amp; Taxes'!C66</f>
        <v>1,085,185</v>
      </c>
      <c r="C13" s="226" t="str">
        <f>'3.Other Exp &amp; Taxes'!D66</f>
        <v>1,085,185</v>
      </c>
      <c r="D13" s="226" t="str">
        <f>'3.Other Exp &amp; Taxes'!E66</f>
        <v>1,085,185</v>
      </c>
      <c r="E13" s="226" t="str">
        <f>'3.Other Exp &amp; Taxes'!F66</f>
        <v>1,085,185</v>
      </c>
      <c r="F13" s="226" t="str">
        <f>'3.Other Exp &amp; Taxes'!G66</f>
        <v>1,085,185</v>
      </c>
      <c r="G13" s="226" t="str">
        <f>'3.Other Exp &amp; Taxes'!H66</f>
        <v>1,085,185</v>
      </c>
      <c r="H13" s="226" t="str">
        <f>'3.Other Exp &amp; Taxes'!I66</f>
        <v>1,085,185</v>
      </c>
      <c r="I13" s="212"/>
      <c r="J13" s="212"/>
      <c r="K13" s="224"/>
      <c r="L13" s="224"/>
      <c r="M13" s="224"/>
      <c r="N13" s="224"/>
      <c r="O13" s="224"/>
      <c r="P13" s="224"/>
      <c r="Q13" s="224"/>
      <c r="R13" s="212"/>
    </row>
    <row r="14">
      <c r="A14" s="221" t="s">
        <v>205</v>
      </c>
      <c r="B14" s="223" t="str">
        <f t="shared" ref="B14:H14" si="2">B12-B13</f>
        <v>24,983,185</v>
      </c>
      <c r="C14" s="223" t="str">
        <f t="shared" si="2"/>
        <v>23,898,000</v>
      </c>
      <c r="D14" s="223" t="str">
        <f t="shared" si="2"/>
        <v>22,812,815</v>
      </c>
      <c r="E14" s="223" t="str">
        <f t="shared" si="2"/>
        <v>21,727,630</v>
      </c>
      <c r="F14" s="223" t="str">
        <f t="shared" si="2"/>
        <v>20,642,446</v>
      </c>
      <c r="G14" s="223" t="str">
        <f t="shared" si="2"/>
        <v>19,557,261</v>
      </c>
      <c r="H14" s="223" t="str">
        <f t="shared" si="2"/>
        <v>18,472,076</v>
      </c>
      <c r="I14" s="227"/>
      <c r="J14" s="227"/>
      <c r="K14" s="227"/>
      <c r="L14" s="227"/>
      <c r="M14" s="227"/>
      <c r="N14" s="227"/>
      <c r="O14" s="227"/>
      <c r="P14" s="227"/>
      <c r="Q14" s="227"/>
      <c r="R14" s="227"/>
    </row>
    <row r="15">
      <c r="A15" s="221"/>
      <c r="B15" s="223"/>
      <c r="C15" s="223"/>
      <c r="D15" s="223"/>
      <c r="E15" s="223"/>
      <c r="F15" s="223"/>
      <c r="G15" s="223"/>
      <c r="H15" s="223"/>
      <c r="I15" s="227"/>
      <c r="J15" s="227"/>
      <c r="K15" s="227"/>
      <c r="L15" s="227"/>
      <c r="M15" s="227"/>
      <c r="N15" s="227"/>
      <c r="O15" s="227"/>
      <c r="P15" s="227"/>
      <c r="Q15" s="227"/>
      <c r="R15" s="227"/>
    </row>
    <row r="16">
      <c r="A16" s="228"/>
      <c r="B16" s="223"/>
      <c r="C16" s="223"/>
      <c r="D16" s="223"/>
      <c r="E16" s="223"/>
      <c r="F16" s="223"/>
      <c r="G16" s="223"/>
      <c r="H16" s="223"/>
      <c r="I16" s="227"/>
      <c r="J16" s="227"/>
      <c r="K16" s="227"/>
      <c r="L16" s="227"/>
      <c r="M16" s="227"/>
      <c r="N16" s="227"/>
      <c r="O16" s="227"/>
      <c r="P16" s="227"/>
      <c r="Q16" s="227"/>
      <c r="R16" s="227"/>
    </row>
    <row r="17">
      <c r="A17" s="221" t="s">
        <v>409</v>
      </c>
      <c r="B17" s="223" t="str">
        <f>'8.Cash Flow '!C20-'6.Cons Profit &amp; Loss'!B41</f>
        <v>50,352</v>
      </c>
      <c r="C17" s="223" t="str">
        <f>B17-'6.Cons Profit &amp; Loss'!C41</f>
        <v>37,764</v>
      </c>
      <c r="D17" s="223" t="str">
        <f>C17-'6.Cons Profit &amp; Loss'!D41</f>
        <v>25,176</v>
      </c>
      <c r="E17" s="223" t="str">
        <f>D17-'6.Cons Profit &amp; Loss'!E41</f>
        <v>12,588</v>
      </c>
      <c r="F17" s="223" t="str">
        <f>E17-'6.Cons Profit &amp; Loss'!F41</f>
        <v>0</v>
      </c>
      <c r="G17" s="223" t="str">
        <f>F17-'6.Cons Profit &amp; Loss'!G41</f>
        <v>0</v>
      </c>
      <c r="H17" s="223" t="str">
        <f>G17-'6.Cons Profit &amp; Loss'!H41</f>
        <v>0</v>
      </c>
      <c r="I17" s="227"/>
      <c r="J17" s="227"/>
      <c r="K17" s="227"/>
      <c r="L17" s="227"/>
      <c r="M17" s="227"/>
      <c r="N17" s="227"/>
      <c r="O17" s="227"/>
      <c r="P17" s="227"/>
      <c r="Q17" s="227"/>
      <c r="R17" s="227"/>
    </row>
    <row r="18">
      <c r="A18" s="225"/>
      <c r="B18" s="226"/>
      <c r="C18" s="226"/>
      <c r="D18" s="226"/>
      <c r="E18" s="226"/>
      <c r="F18" s="226"/>
      <c r="G18" s="226"/>
      <c r="H18" s="226"/>
      <c r="I18" s="212"/>
      <c r="J18" s="212"/>
      <c r="K18" s="212"/>
      <c r="L18" s="212"/>
      <c r="M18" s="212"/>
      <c r="N18" s="212"/>
      <c r="O18" s="212"/>
      <c r="P18" s="212"/>
      <c r="Q18" s="212"/>
      <c r="R18" s="212"/>
    </row>
    <row r="19">
      <c r="A19" s="228" t="s">
        <v>410</v>
      </c>
      <c r="B19" s="223" t="str">
        <f t="shared" ref="B19:H19" si="3">B10+B14+B16+B17</f>
        <v>56,362,997</v>
      </c>
      <c r="C19" s="223" t="str">
        <f t="shared" si="3"/>
        <v>63,147,018</v>
      </c>
      <c r="D19" s="223" t="str">
        <f t="shared" si="3"/>
        <v>73,281,887</v>
      </c>
      <c r="E19" s="223" t="str">
        <f t="shared" si="3"/>
        <v>87,108,116</v>
      </c>
      <c r="F19" s="223" t="str">
        <f t="shared" si="3"/>
        <v>104,986,695</v>
      </c>
      <c r="G19" s="223" t="str">
        <f t="shared" si="3"/>
        <v>127,055,329</v>
      </c>
      <c r="H19" s="223" t="str">
        <f t="shared" si="3"/>
        <v>153,688,707</v>
      </c>
      <c r="I19" s="212"/>
      <c r="J19" s="212"/>
      <c r="K19" s="212"/>
      <c r="L19" s="212"/>
      <c r="M19" s="212"/>
      <c r="N19" s="212"/>
      <c r="O19" s="212"/>
      <c r="P19" s="212"/>
      <c r="Q19" s="212"/>
      <c r="R19" s="212"/>
    </row>
    <row r="20">
      <c r="A20" s="216"/>
      <c r="B20" s="226"/>
      <c r="C20" s="226"/>
      <c r="D20" s="226"/>
      <c r="E20" s="226"/>
      <c r="F20" s="226"/>
      <c r="G20" s="226"/>
      <c r="H20" s="226"/>
      <c r="I20" s="212"/>
      <c r="J20" s="212"/>
      <c r="K20" s="212"/>
      <c r="L20" s="212"/>
      <c r="M20" s="212"/>
      <c r="N20" s="212"/>
      <c r="O20" s="212"/>
      <c r="P20" s="212"/>
      <c r="Q20" s="212"/>
      <c r="R20" s="212"/>
    </row>
    <row r="21" ht="15.75" customHeight="1">
      <c r="A21" s="219" t="s">
        <v>411</v>
      </c>
      <c r="B21" s="229"/>
      <c r="C21" s="229"/>
      <c r="D21" s="229"/>
      <c r="E21" s="229"/>
      <c r="F21" s="229"/>
      <c r="G21" s="229"/>
      <c r="H21" s="229"/>
      <c r="I21" s="212"/>
      <c r="J21" s="212"/>
      <c r="K21" s="212"/>
      <c r="L21" s="212"/>
      <c r="M21" s="212"/>
      <c r="N21" s="212"/>
      <c r="O21" s="212"/>
      <c r="P21" s="212"/>
      <c r="Q21" s="212"/>
      <c r="R21" s="212"/>
    </row>
    <row r="22" ht="15.75" customHeight="1">
      <c r="A22" s="221" t="s">
        <v>412</v>
      </c>
      <c r="B22" s="229"/>
      <c r="C22" s="229"/>
      <c r="D22" s="229"/>
      <c r="E22" s="229"/>
      <c r="F22" s="229"/>
      <c r="G22" s="229"/>
      <c r="H22" s="229"/>
      <c r="I22" s="212"/>
      <c r="J22" s="212"/>
      <c r="K22" s="212"/>
      <c r="L22" s="212"/>
      <c r="M22" s="212"/>
      <c r="N22" s="212"/>
      <c r="O22" s="212"/>
      <c r="P22" s="212"/>
      <c r="Q22" s="212"/>
      <c r="R22" s="212"/>
    </row>
    <row r="23" ht="15.75" customHeight="1">
      <c r="A23" s="225" t="s">
        <v>413</v>
      </c>
      <c r="B23" s="223"/>
      <c r="C23" s="223"/>
      <c r="D23" s="223"/>
      <c r="E23" s="223"/>
      <c r="F23" s="223"/>
      <c r="G23" s="223"/>
      <c r="H23" s="223"/>
      <c r="I23" s="212"/>
      <c r="J23" s="212"/>
      <c r="K23" s="212"/>
      <c r="L23" s="212"/>
      <c r="M23" s="212"/>
      <c r="N23" s="212"/>
      <c r="O23" s="212"/>
      <c r="P23" s="212"/>
      <c r="Q23" s="212"/>
      <c r="R23" s="212"/>
    </row>
    <row r="24" ht="15.75" customHeight="1">
      <c r="A24" s="225" t="s">
        <v>414</v>
      </c>
      <c r="B24" s="226"/>
      <c r="C24" s="226"/>
      <c r="D24" s="226"/>
      <c r="E24" s="226"/>
      <c r="F24" s="226"/>
      <c r="G24" s="226"/>
      <c r="H24" s="226"/>
      <c r="I24" s="212"/>
      <c r="J24" s="212"/>
      <c r="K24" s="212"/>
      <c r="L24" s="212"/>
      <c r="M24" s="212"/>
      <c r="N24" s="212"/>
      <c r="O24" s="212"/>
      <c r="P24" s="212"/>
      <c r="Q24" s="212"/>
      <c r="R24" s="212"/>
    </row>
    <row r="25" ht="15.75" customHeight="1">
      <c r="A25" s="225" t="s">
        <v>415</v>
      </c>
      <c r="B25" s="223"/>
      <c r="C25" s="223"/>
      <c r="D25" s="223"/>
      <c r="E25" s="223"/>
      <c r="F25" s="223"/>
      <c r="G25" s="223"/>
      <c r="H25" s="223"/>
      <c r="I25" s="212"/>
      <c r="J25" s="212"/>
      <c r="K25" s="212"/>
      <c r="L25" s="212"/>
      <c r="M25" s="212"/>
      <c r="N25" s="212"/>
      <c r="O25" s="212"/>
      <c r="P25" s="212"/>
      <c r="Q25" s="212"/>
      <c r="R25" s="212"/>
    </row>
    <row r="26" ht="15.75" customHeight="1">
      <c r="A26" s="221" t="s">
        <v>416</v>
      </c>
      <c r="B26" s="223" t="str">
        <f t="shared" ref="B26:H26" si="4">SUM(B23:B25)</f>
        <v>0</v>
      </c>
      <c r="C26" s="223" t="str">
        <f t="shared" si="4"/>
        <v>0</v>
      </c>
      <c r="D26" s="223" t="str">
        <f t="shared" si="4"/>
        <v>0</v>
      </c>
      <c r="E26" s="223" t="str">
        <f t="shared" si="4"/>
        <v>0</v>
      </c>
      <c r="F26" s="223" t="str">
        <f t="shared" si="4"/>
        <v>0</v>
      </c>
      <c r="G26" s="223" t="str">
        <f t="shared" si="4"/>
        <v>0</v>
      </c>
      <c r="H26" s="223" t="str">
        <f t="shared" si="4"/>
        <v>0</v>
      </c>
      <c r="I26" s="212"/>
      <c r="J26" s="212"/>
      <c r="K26" s="212"/>
      <c r="L26" s="212"/>
      <c r="M26" s="212"/>
      <c r="N26" s="212"/>
      <c r="O26" s="212"/>
      <c r="P26" s="212"/>
      <c r="Q26" s="212"/>
      <c r="R26" s="212"/>
    </row>
    <row r="27" ht="15.75" customHeight="1">
      <c r="A27" s="221" t="s">
        <v>417</v>
      </c>
      <c r="B27" s="223" t="str">
        <f>'4.TL repayment sch'!G21</f>
        <v>0</v>
      </c>
      <c r="C27" s="223" t="str">
        <f>'4.TL repayment sch'!G33</f>
        <v>0</v>
      </c>
      <c r="D27" s="223" t="str">
        <f>'4.TL repayment sch'!G45</f>
        <v>0</v>
      </c>
      <c r="E27" s="223" t="str">
        <f>'4.TL repayment sch'!G57</f>
        <v>0</v>
      </c>
      <c r="F27" s="223" t="str">
        <f>'4.TL repayment sch'!G69</f>
        <v>0</v>
      </c>
      <c r="G27" s="223" t="str">
        <f>'4.TL repayment sch'!G81</f>
        <v>0</v>
      </c>
      <c r="H27" s="223" t="str">
        <f>'[1]Term Loan'!J72+'[1]Term Loan'!S72</f>
        <v>#REF!</v>
      </c>
      <c r="I27" s="212"/>
      <c r="J27" s="212"/>
      <c r="K27" s="212"/>
      <c r="L27" s="212"/>
      <c r="M27" s="212"/>
      <c r="N27" s="212"/>
      <c r="O27" s="212"/>
      <c r="P27" s="212"/>
      <c r="Q27" s="212"/>
      <c r="R27" s="212"/>
    </row>
    <row r="28" ht="15.75" customHeight="1">
      <c r="A28" s="221" t="s">
        <v>418</v>
      </c>
      <c r="B28" s="223"/>
      <c r="C28" s="223"/>
      <c r="D28" s="223"/>
      <c r="E28" s="223"/>
      <c r="F28" s="223"/>
      <c r="G28" s="223"/>
      <c r="H28" s="223"/>
      <c r="I28" s="212"/>
      <c r="J28" s="212"/>
      <c r="K28" s="212"/>
      <c r="L28" s="212"/>
      <c r="M28" s="212"/>
      <c r="N28" s="212"/>
      <c r="O28" s="212"/>
      <c r="P28" s="212"/>
      <c r="Q28" s="212"/>
      <c r="R28" s="212"/>
    </row>
    <row r="29" ht="15.75" customHeight="1">
      <c r="A29" s="221"/>
      <c r="B29" s="230"/>
      <c r="C29" s="230"/>
      <c r="D29" s="230"/>
      <c r="E29" s="230"/>
      <c r="F29" s="230"/>
      <c r="G29" s="230"/>
      <c r="H29" s="230"/>
      <c r="I29" s="212"/>
      <c r="J29" s="212"/>
      <c r="K29" s="212"/>
      <c r="L29" s="212"/>
      <c r="M29" s="212"/>
      <c r="N29" s="212"/>
      <c r="O29" s="212"/>
      <c r="P29" s="212"/>
      <c r="Q29" s="212"/>
      <c r="R29" s="212"/>
    </row>
    <row r="30" ht="15.75" customHeight="1">
      <c r="A30" s="228" t="s">
        <v>419</v>
      </c>
      <c r="B30" s="223" t="str">
        <f t="shared" ref="B30:H30" si="5">SUM(B26:B28)</f>
        <v>0</v>
      </c>
      <c r="C30" s="223" t="str">
        <f t="shared" si="5"/>
        <v>0</v>
      </c>
      <c r="D30" s="223" t="str">
        <f t="shared" si="5"/>
        <v>0</v>
      </c>
      <c r="E30" s="223" t="str">
        <f t="shared" si="5"/>
        <v>0</v>
      </c>
      <c r="F30" s="223" t="str">
        <f t="shared" si="5"/>
        <v>0</v>
      </c>
      <c r="G30" s="223" t="str">
        <f t="shared" si="5"/>
        <v>0</v>
      </c>
      <c r="H30" s="223" t="str">
        <f t="shared" si="5"/>
        <v>#REF!</v>
      </c>
      <c r="I30" s="212"/>
      <c r="J30" s="212"/>
      <c r="K30" s="212"/>
      <c r="L30" s="212"/>
      <c r="M30" s="212"/>
      <c r="N30" s="212"/>
      <c r="O30" s="212"/>
      <c r="P30" s="212"/>
      <c r="Q30" s="212"/>
      <c r="R30" s="212"/>
    </row>
    <row r="31" ht="15.75" customHeight="1">
      <c r="A31" s="216"/>
      <c r="B31" s="226"/>
      <c r="C31" s="226"/>
      <c r="D31" s="226"/>
      <c r="E31" s="226"/>
      <c r="F31" s="226"/>
      <c r="G31" s="226"/>
      <c r="H31" s="226"/>
      <c r="I31" s="212"/>
      <c r="J31" s="212"/>
      <c r="K31" s="212"/>
      <c r="L31" s="212"/>
      <c r="M31" s="212"/>
      <c r="N31" s="212"/>
      <c r="O31" s="212"/>
      <c r="P31" s="212"/>
      <c r="Q31" s="212"/>
      <c r="R31" s="212"/>
    </row>
    <row r="32" ht="15.75" customHeight="1">
      <c r="A32" s="225" t="s">
        <v>420</v>
      </c>
      <c r="B32" s="226" t="str">
        <f>'1.Project Cost and MOF'!E22</f>
        <v>40,742,790</v>
      </c>
      <c r="C32" s="226" t="str">
        <f t="shared" ref="C32:H32" si="6">B32</f>
        <v>40,742,790</v>
      </c>
      <c r="D32" s="226" t="str">
        <f t="shared" si="6"/>
        <v>40,742,790</v>
      </c>
      <c r="E32" s="226" t="str">
        <f t="shared" si="6"/>
        <v>40,742,790</v>
      </c>
      <c r="F32" s="226" t="str">
        <f t="shared" si="6"/>
        <v>40,742,790</v>
      </c>
      <c r="G32" s="226" t="str">
        <f t="shared" si="6"/>
        <v>40,742,790</v>
      </c>
      <c r="H32" s="226" t="str">
        <f t="shared" si="6"/>
        <v>40,742,790</v>
      </c>
      <c r="I32" s="212"/>
      <c r="J32" s="212"/>
      <c r="K32" s="212"/>
      <c r="L32" s="212"/>
      <c r="M32" s="212"/>
      <c r="N32" s="212"/>
      <c r="O32" s="212"/>
      <c r="P32" s="212"/>
      <c r="Q32" s="212"/>
      <c r="R32" s="212"/>
    </row>
    <row r="33" ht="15.75" customHeight="1">
      <c r="A33" s="225" t="s">
        <v>421</v>
      </c>
      <c r="B33" s="226" t="str">
        <f>'1.Project Cost and MOF'!E20</f>
        <v>15,678,786</v>
      </c>
      <c r="C33" s="226" t="str">
        <f t="shared" ref="C33:H33" si="7">B33</f>
        <v>15,678,786</v>
      </c>
      <c r="D33" s="226" t="str">
        <f t="shared" si="7"/>
        <v>15,678,786</v>
      </c>
      <c r="E33" s="226" t="str">
        <f t="shared" si="7"/>
        <v>15,678,786</v>
      </c>
      <c r="F33" s="226" t="str">
        <f t="shared" si="7"/>
        <v>15,678,786</v>
      </c>
      <c r="G33" s="226" t="str">
        <f t="shared" si="7"/>
        <v>15,678,786</v>
      </c>
      <c r="H33" s="226" t="str">
        <f t="shared" si="7"/>
        <v>15,678,786</v>
      </c>
      <c r="I33" s="212"/>
      <c r="J33" s="212"/>
      <c r="K33" s="212"/>
      <c r="L33" s="212"/>
      <c r="M33" s="212"/>
      <c r="N33" s="212"/>
      <c r="O33" s="212"/>
      <c r="P33" s="212"/>
      <c r="Q33" s="212"/>
      <c r="R33" s="212"/>
    </row>
    <row r="34" ht="15.75" customHeight="1">
      <c r="A34" s="221" t="s">
        <v>422</v>
      </c>
      <c r="B34" s="226"/>
      <c r="C34" s="226"/>
      <c r="D34" s="226"/>
      <c r="E34" s="226"/>
      <c r="F34" s="226"/>
      <c r="G34" s="226"/>
      <c r="H34" s="226"/>
      <c r="I34" s="212"/>
      <c r="J34" s="212"/>
      <c r="K34" s="212"/>
      <c r="L34" s="212"/>
      <c r="M34" s="212"/>
      <c r="N34" s="212"/>
      <c r="O34" s="212"/>
      <c r="P34" s="212"/>
      <c r="Q34" s="212"/>
      <c r="R34" s="212"/>
    </row>
    <row r="35" ht="15.75" customHeight="1">
      <c r="A35" s="225" t="s">
        <v>423</v>
      </c>
      <c r="B35" s="226">
        <v>0.0</v>
      </c>
      <c r="C35" s="226" t="str">
        <f t="shared" ref="C35:H35" si="8">B38</f>
        <v>-58,579</v>
      </c>
      <c r="D35" s="226" t="str">
        <f t="shared" si="8"/>
        <v>6,725,442</v>
      </c>
      <c r="E35" s="226" t="str">
        <f t="shared" si="8"/>
        <v>16,860,311</v>
      </c>
      <c r="F35" s="226" t="str">
        <f t="shared" si="8"/>
        <v>30,686,540</v>
      </c>
      <c r="G35" s="226" t="str">
        <f t="shared" si="8"/>
        <v>48,565,119</v>
      </c>
      <c r="H35" s="226" t="str">
        <f t="shared" si="8"/>
        <v>70,633,753</v>
      </c>
      <c r="I35" s="212"/>
      <c r="J35" s="212"/>
      <c r="K35" s="212"/>
      <c r="L35" s="212"/>
      <c r="M35" s="212"/>
      <c r="N35" s="212"/>
      <c r="O35" s="212"/>
      <c r="P35" s="212"/>
      <c r="Q35" s="212"/>
      <c r="R35" s="212"/>
    </row>
    <row r="36" ht="15.75" customHeight="1">
      <c r="A36" s="225" t="s">
        <v>424</v>
      </c>
      <c r="B36" s="226" t="str">
        <f>'6.Cons Profit &amp; Loss'!B50</f>
        <v>-58,579</v>
      </c>
      <c r="C36" s="226" t="str">
        <f>'6.Cons Profit &amp; Loss'!C49</f>
        <v>6,784,021</v>
      </c>
      <c r="D36" s="226" t="str">
        <f>'6.Cons Profit &amp; Loss'!D49</f>
        <v>10,134,869</v>
      </c>
      <c r="E36" s="226" t="str">
        <f>'6.Cons Profit &amp; Loss'!E49</f>
        <v>13,826,229</v>
      </c>
      <c r="F36" s="226" t="str">
        <f>'6.Cons Profit &amp; Loss'!F49</f>
        <v>17,878,579</v>
      </c>
      <c r="G36" s="226" t="str">
        <f>'6.Cons Profit &amp; Loss'!G49</f>
        <v>22,068,634</v>
      </c>
      <c r="H36" s="226" t="str">
        <f>'6.Cons Profit &amp; Loss'!H49</f>
        <v>26,633,378</v>
      </c>
      <c r="I36" s="212"/>
      <c r="J36" s="212"/>
      <c r="K36" s="212"/>
      <c r="L36" s="212"/>
      <c r="M36" s="212"/>
      <c r="N36" s="212"/>
      <c r="O36" s="212"/>
      <c r="P36" s="212"/>
      <c r="Q36" s="212"/>
      <c r="R36" s="212"/>
    </row>
    <row r="37" ht="15.75" customHeight="1">
      <c r="A37" s="225" t="s">
        <v>425</v>
      </c>
      <c r="B37" s="226"/>
      <c r="C37" s="226"/>
      <c r="D37" s="226"/>
      <c r="E37" s="226"/>
      <c r="F37" s="226"/>
      <c r="G37" s="226"/>
      <c r="H37" s="226"/>
      <c r="I37" s="212"/>
      <c r="J37" s="212"/>
      <c r="K37" s="212"/>
      <c r="L37" s="212"/>
      <c r="M37" s="212"/>
      <c r="N37" s="212"/>
      <c r="O37" s="212"/>
      <c r="P37" s="212"/>
      <c r="Q37" s="212"/>
      <c r="R37" s="212"/>
    </row>
    <row r="38" ht="15.75" customHeight="1">
      <c r="A38" s="225" t="s">
        <v>426</v>
      </c>
      <c r="B38" s="226" t="str">
        <f t="shared" ref="B38:H38" si="9">B35+B36-B37</f>
        <v>-58,579</v>
      </c>
      <c r="C38" s="226" t="str">
        <f t="shared" si="9"/>
        <v>6,725,442</v>
      </c>
      <c r="D38" s="226" t="str">
        <f t="shared" si="9"/>
        <v>16,860,311</v>
      </c>
      <c r="E38" s="226" t="str">
        <f t="shared" si="9"/>
        <v>30,686,540</v>
      </c>
      <c r="F38" s="226" t="str">
        <f t="shared" si="9"/>
        <v>48,565,119</v>
      </c>
      <c r="G38" s="226" t="str">
        <f t="shared" si="9"/>
        <v>70,633,753</v>
      </c>
      <c r="H38" s="226" t="str">
        <f t="shared" si="9"/>
        <v>97,267,131</v>
      </c>
      <c r="I38" s="212"/>
      <c r="J38" s="212"/>
      <c r="K38" s="212"/>
      <c r="L38" s="212"/>
      <c r="M38" s="212"/>
      <c r="N38" s="212"/>
      <c r="O38" s="212"/>
      <c r="P38" s="212"/>
      <c r="Q38" s="212"/>
      <c r="R38" s="212"/>
    </row>
    <row r="39" ht="15.75" customHeight="1">
      <c r="A39" s="225"/>
      <c r="B39" s="229"/>
      <c r="C39" s="229"/>
      <c r="D39" s="229"/>
      <c r="E39" s="229"/>
      <c r="F39" s="229"/>
      <c r="G39" s="229"/>
      <c r="H39" s="229"/>
      <c r="I39" s="212"/>
      <c r="J39" s="212"/>
      <c r="K39" s="212"/>
      <c r="L39" s="212"/>
      <c r="M39" s="212"/>
      <c r="N39" s="212"/>
      <c r="O39" s="212"/>
      <c r="P39" s="212"/>
      <c r="Q39" s="212"/>
      <c r="R39" s="212"/>
    </row>
    <row r="40" ht="15.75" customHeight="1">
      <c r="A40" s="231" t="s">
        <v>427</v>
      </c>
      <c r="B40" s="232" t="str">
        <f t="shared" ref="B40:H40" si="10">B32+B38+B33</f>
        <v>56,362,997</v>
      </c>
      <c r="C40" s="232" t="str">
        <f t="shared" si="10"/>
        <v>63,147,018</v>
      </c>
      <c r="D40" s="232" t="str">
        <f t="shared" si="10"/>
        <v>73,281,887</v>
      </c>
      <c r="E40" s="232" t="str">
        <f t="shared" si="10"/>
        <v>87,108,116</v>
      </c>
      <c r="F40" s="232" t="str">
        <f t="shared" si="10"/>
        <v>104,986,695</v>
      </c>
      <c r="G40" s="232" t="str">
        <f t="shared" si="10"/>
        <v>127,055,329</v>
      </c>
      <c r="H40" s="232" t="str">
        <f t="shared" si="10"/>
        <v>153,688,707</v>
      </c>
      <c r="I40" s="212"/>
      <c r="J40" s="212"/>
      <c r="K40" s="212"/>
      <c r="L40" s="212"/>
      <c r="M40" s="212"/>
      <c r="N40" s="212"/>
      <c r="O40" s="212"/>
      <c r="P40" s="212"/>
      <c r="Q40" s="212"/>
      <c r="R40" s="212"/>
    </row>
    <row r="41" ht="15.75" customHeight="1">
      <c r="A41" s="216"/>
      <c r="B41" s="226"/>
      <c r="C41" s="226"/>
      <c r="D41" s="226"/>
      <c r="E41" s="226"/>
      <c r="F41" s="226"/>
      <c r="G41" s="226"/>
      <c r="H41" s="226"/>
      <c r="I41" s="212"/>
      <c r="J41" s="212"/>
      <c r="K41" s="212"/>
      <c r="L41" s="212"/>
      <c r="M41" s="212"/>
      <c r="N41" s="212"/>
      <c r="O41" s="212"/>
      <c r="P41" s="212"/>
      <c r="Q41" s="212"/>
      <c r="R41" s="212"/>
    </row>
    <row r="42" ht="15.75" customHeight="1">
      <c r="A42" s="228" t="s">
        <v>428</v>
      </c>
      <c r="B42" s="223" t="str">
        <f t="shared" ref="B42:H42" si="11">B30+B40</f>
        <v>56,362,997</v>
      </c>
      <c r="C42" s="223" t="str">
        <f t="shared" si="11"/>
        <v>63,147,018</v>
      </c>
      <c r="D42" s="223" t="str">
        <f t="shared" si="11"/>
        <v>73,281,887</v>
      </c>
      <c r="E42" s="223" t="str">
        <f t="shared" si="11"/>
        <v>87,108,116</v>
      </c>
      <c r="F42" s="223" t="str">
        <f t="shared" si="11"/>
        <v>104,986,695</v>
      </c>
      <c r="G42" s="223" t="str">
        <f t="shared" si="11"/>
        <v>127,055,329</v>
      </c>
      <c r="H42" s="223" t="str">
        <f t="shared" si="11"/>
        <v>#REF!</v>
      </c>
      <c r="I42" s="212"/>
      <c r="J42" s="212"/>
      <c r="K42" s="212"/>
      <c r="L42" s="212"/>
      <c r="M42" s="212"/>
      <c r="N42" s="212"/>
      <c r="O42" s="212"/>
      <c r="P42" s="212"/>
      <c r="Q42" s="212"/>
      <c r="R42" s="212"/>
    </row>
    <row r="43" ht="15.75" customHeight="1">
      <c r="A43" s="216"/>
      <c r="B43" s="220"/>
      <c r="C43" s="220"/>
      <c r="D43" s="220"/>
      <c r="E43" s="220"/>
      <c r="F43" s="220"/>
      <c r="G43" s="220"/>
      <c r="H43" s="220"/>
      <c r="I43" s="212"/>
      <c r="J43" s="212"/>
      <c r="K43" s="212"/>
      <c r="L43" s="212"/>
      <c r="M43" s="212"/>
      <c r="N43" s="212"/>
      <c r="O43" s="212"/>
      <c r="P43" s="212"/>
      <c r="Q43" s="212"/>
      <c r="R43" s="212"/>
    </row>
    <row r="44" ht="15.75" customHeight="1">
      <c r="A44" s="233" t="s">
        <v>429</v>
      </c>
      <c r="B44" s="234"/>
      <c r="C44" s="234"/>
      <c r="D44" s="234"/>
      <c r="E44" s="234"/>
      <c r="F44" s="234"/>
      <c r="G44" s="234"/>
      <c r="H44" s="234"/>
      <c r="I44" s="212"/>
      <c r="J44" s="212"/>
      <c r="K44" s="212"/>
      <c r="L44" s="212"/>
      <c r="M44" s="212"/>
      <c r="N44" s="212"/>
      <c r="O44" s="212"/>
      <c r="P44" s="212"/>
      <c r="Q44" s="212"/>
      <c r="R44" s="212"/>
    </row>
    <row r="45" ht="15.75" customHeight="1">
      <c r="A45" s="235" t="s">
        <v>430</v>
      </c>
      <c r="B45" s="236" t="str">
        <f t="shared" ref="B45:H45" si="12">B42-B19</f>
        <v>0.00</v>
      </c>
      <c r="C45" s="236" t="str">
        <f t="shared" si="12"/>
        <v>0.00</v>
      </c>
      <c r="D45" s="236" t="str">
        <f t="shared" si="12"/>
        <v>0.00</v>
      </c>
      <c r="E45" s="236" t="str">
        <f t="shared" si="12"/>
        <v>0.00</v>
      </c>
      <c r="F45" s="236" t="str">
        <f t="shared" si="12"/>
        <v>0.00</v>
      </c>
      <c r="G45" s="236" t="str">
        <f t="shared" si="12"/>
        <v>0.00</v>
      </c>
      <c r="H45" s="236" t="str">
        <f t="shared" si="12"/>
        <v>#REF!</v>
      </c>
      <c r="I45" s="212"/>
      <c r="J45" s="212"/>
      <c r="K45" s="212"/>
      <c r="L45" s="212"/>
      <c r="M45" s="212"/>
      <c r="N45" s="212"/>
      <c r="O45" s="212"/>
      <c r="P45" s="212"/>
      <c r="Q45" s="212"/>
      <c r="R45" s="212"/>
    </row>
    <row r="46" ht="15.75" customHeight="1">
      <c r="A46" s="235"/>
      <c r="B46" s="236"/>
      <c r="C46" s="236"/>
      <c r="D46" s="236"/>
      <c r="E46" s="236"/>
      <c r="F46" s="236"/>
      <c r="G46" s="236"/>
      <c r="H46" s="236"/>
      <c r="I46" s="212"/>
      <c r="J46" s="212"/>
      <c r="K46" s="212"/>
      <c r="L46" s="212"/>
      <c r="M46" s="212"/>
      <c r="N46" s="212"/>
      <c r="O46" s="212"/>
      <c r="P46" s="212"/>
      <c r="Q46" s="212"/>
      <c r="R46" s="212"/>
    </row>
    <row r="47" ht="15.75" customHeight="1">
      <c r="A47" s="237"/>
      <c r="B47" s="238"/>
      <c r="C47" s="238"/>
      <c r="D47" s="238"/>
      <c r="E47" s="238"/>
      <c r="F47" s="238"/>
      <c r="G47" s="238"/>
      <c r="H47" s="238"/>
      <c r="I47" s="212"/>
      <c r="J47" s="212"/>
      <c r="K47" s="212"/>
      <c r="L47" s="212"/>
      <c r="M47" s="212"/>
      <c r="N47" s="212"/>
      <c r="O47" s="212"/>
      <c r="P47" s="212"/>
      <c r="Q47" s="212"/>
      <c r="R47" s="212"/>
    </row>
    <row r="48" ht="15.75" customHeight="1">
      <c r="A48" s="212"/>
      <c r="B48" s="239"/>
      <c r="C48" s="239"/>
      <c r="D48" s="239"/>
      <c r="E48" s="239"/>
      <c r="F48" s="239"/>
      <c r="G48" s="239"/>
      <c r="H48" s="239"/>
      <c r="I48" s="212"/>
      <c r="J48" s="212"/>
      <c r="K48" s="212"/>
      <c r="L48" s="212"/>
      <c r="M48" s="212"/>
      <c r="N48" s="212"/>
      <c r="O48" s="212"/>
      <c r="P48" s="212"/>
      <c r="Q48" s="212"/>
      <c r="R48" s="212"/>
    </row>
    <row r="49" ht="39.0" customHeight="1">
      <c r="A49" s="240" t="s">
        <v>431</v>
      </c>
      <c r="J49" s="212"/>
      <c r="K49" s="212"/>
      <c r="L49" s="212"/>
      <c r="M49" s="212"/>
      <c r="N49" s="212"/>
      <c r="O49" s="212"/>
      <c r="P49" s="212"/>
      <c r="Q49" s="212"/>
      <c r="R49" s="212"/>
    </row>
    <row r="50" ht="15.75" customHeight="1">
      <c r="A50" s="212"/>
      <c r="B50" s="212"/>
      <c r="C50" s="212"/>
      <c r="D50" s="212"/>
      <c r="E50" s="212"/>
      <c r="F50" s="212"/>
      <c r="G50" s="212"/>
      <c r="H50" s="212"/>
      <c r="I50" s="212"/>
      <c r="J50" s="212"/>
      <c r="K50" s="212"/>
      <c r="L50" s="212"/>
      <c r="M50" s="212"/>
      <c r="N50" s="212"/>
      <c r="O50" s="212"/>
      <c r="P50" s="212"/>
      <c r="Q50" s="212"/>
      <c r="R50" s="212"/>
    </row>
    <row r="51" ht="15.75" customHeight="1">
      <c r="A51" s="212"/>
      <c r="B51" s="212"/>
      <c r="C51" s="212"/>
      <c r="D51" s="212"/>
      <c r="E51" s="212"/>
      <c r="F51" s="212"/>
      <c r="G51" s="212"/>
      <c r="H51" s="212"/>
      <c r="I51" s="212"/>
      <c r="J51" s="212"/>
      <c r="K51" s="212"/>
      <c r="L51" s="212"/>
      <c r="M51" s="212"/>
      <c r="N51" s="212"/>
      <c r="O51" s="212"/>
      <c r="P51" s="212"/>
      <c r="Q51" s="212"/>
      <c r="R51" s="212"/>
    </row>
    <row r="52" ht="15.75" customHeight="1">
      <c r="A52" s="212"/>
      <c r="B52" s="212"/>
      <c r="C52" s="212"/>
      <c r="D52" s="212"/>
      <c r="E52" s="212"/>
      <c r="F52" s="212"/>
      <c r="G52" s="212"/>
      <c r="H52" s="212"/>
      <c r="I52" s="212"/>
      <c r="J52" s="212"/>
      <c r="K52" s="212"/>
      <c r="L52" s="212"/>
      <c r="M52" s="212"/>
      <c r="N52" s="212"/>
      <c r="O52" s="212"/>
      <c r="P52" s="212"/>
      <c r="Q52" s="212"/>
      <c r="R52" s="212"/>
    </row>
    <row r="53" ht="15.75" customHeight="1">
      <c r="A53" s="212"/>
      <c r="B53" s="212"/>
      <c r="C53" s="212"/>
      <c r="D53" s="212"/>
      <c r="E53" s="212"/>
      <c r="F53" s="212"/>
      <c r="G53" s="212"/>
      <c r="H53" s="212"/>
      <c r="I53" s="212"/>
      <c r="J53" s="212"/>
      <c r="K53" s="212"/>
      <c r="L53" s="212"/>
      <c r="M53" s="212"/>
      <c r="N53" s="212"/>
      <c r="O53" s="212"/>
      <c r="P53" s="212"/>
      <c r="Q53" s="212"/>
      <c r="R53" s="212"/>
    </row>
    <row r="54" ht="15.75" customHeight="1">
      <c r="A54" s="212"/>
      <c r="B54" s="212"/>
      <c r="C54" s="212"/>
      <c r="D54" s="212"/>
      <c r="E54" s="212"/>
      <c r="F54" s="212"/>
      <c r="G54" s="212"/>
      <c r="H54" s="212"/>
      <c r="I54" s="212"/>
      <c r="J54" s="212"/>
      <c r="K54" s="212"/>
      <c r="L54" s="212"/>
      <c r="M54" s="212"/>
      <c r="N54" s="212"/>
      <c r="O54" s="212"/>
      <c r="P54" s="212"/>
      <c r="Q54" s="212"/>
      <c r="R54" s="212"/>
    </row>
    <row r="55" ht="15.75" customHeight="1">
      <c r="A55" s="212"/>
      <c r="B55" s="212"/>
      <c r="C55" s="212"/>
      <c r="D55" s="212"/>
      <c r="E55" s="212"/>
      <c r="F55" s="212"/>
      <c r="G55" s="212"/>
      <c r="H55" s="212"/>
      <c r="I55" s="212"/>
      <c r="J55" s="212"/>
      <c r="K55" s="212"/>
      <c r="L55" s="212"/>
      <c r="M55" s="212"/>
      <c r="N55" s="212"/>
      <c r="O55" s="212"/>
      <c r="P55" s="212"/>
      <c r="Q55" s="212"/>
      <c r="R55" s="212"/>
    </row>
    <row r="56" ht="15.75" customHeight="1">
      <c r="A56" s="212"/>
      <c r="B56" s="212"/>
      <c r="C56" s="212"/>
      <c r="D56" s="212"/>
      <c r="E56" s="212"/>
      <c r="F56" s="212"/>
      <c r="G56" s="212"/>
      <c r="H56" s="212"/>
      <c r="I56" s="212"/>
      <c r="J56" s="212"/>
      <c r="K56" s="212"/>
      <c r="L56" s="212"/>
      <c r="M56" s="212"/>
      <c r="N56" s="212"/>
      <c r="O56" s="212"/>
      <c r="P56" s="212"/>
      <c r="Q56" s="212"/>
      <c r="R56" s="212"/>
    </row>
    <row r="57" ht="15.75" customHeight="1">
      <c r="A57" s="212"/>
      <c r="B57" s="212"/>
      <c r="C57" s="212"/>
      <c r="D57" s="212"/>
      <c r="E57" s="212"/>
      <c r="F57" s="212"/>
      <c r="G57" s="212"/>
      <c r="H57" s="212"/>
      <c r="I57" s="212"/>
      <c r="J57" s="212"/>
      <c r="K57" s="212"/>
      <c r="L57" s="212"/>
      <c r="M57" s="212"/>
      <c r="N57" s="212"/>
      <c r="O57" s="212"/>
      <c r="P57" s="212"/>
      <c r="Q57" s="212"/>
      <c r="R57" s="212"/>
    </row>
    <row r="58" ht="15.75" customHeight="1">
      <c r="A58" s="212"/>
      <c r="B58" s="212"/>
      <c r="C58" s="212"/>
      <c r="D58" s="212"/>
      <c r="E58" s="212"/>
      <c r="F58" s="212"/>
      <c r="G58" s="212"/>
      <c r="H58" s="212"/>
      <c r="I58" s="212"/>
      <c r="J58" s="212"/>
      <c r="K58" s="212"/>
      <c r="L58" s="212"/>
      <c r="M58" s="212"/>
      <c r="N58" s="212"/>
      <c r="O58" s="212"/>
      <c r="P58" s="212"/>
      <c r="Q58" s="212"/>
      <c r="R58" s="212"/>
    </row>
    <row r="59" ht="15.75" customHeight="1">
      <c r="A59" s="212"/>
      <c r="B59" s="212"/>
      <c r="C59" s="212"/>
      <c r="D59" s="212"/>
      <c r="E59" s="212"/>
      <c r="F59" s="212"/>
      <c r="G59" s="212"/>
      <c r="H59" s="212"/>
      <c r="I59" s="212"/>
      <c r="J59" s="212"/>
      <c r="K59" s="212"/>
      <c r="L59" s="212"/>
      <c r="M59" s="212"/>
      <c r="N59" s="212"/>
      <c r="O59" s="212"/>
      <c r="P59" s="212"/>
      <c r="Q59" s="212"/>
      <c r="R59" s="212"/>
    </row>
    <row r="60" ht="15.75" customHeight="1">
      <c r="A60" s="212"/>
      <c r="B60" s="212"/>
      <c r="C60" s="212"/>
      <c r="D60" s="212"/>
      <c r="E60" s="212"/>
      <c r="F60" s="212"/>
      <c r="G60" s="212"/>
      <c r="H60" s="212"/>
      <c r="I60" s="212"/>
      <c r="J60" s="212"/>
      <c r="K60" s="212"/>
      <c r="L60" s="212"/>
      <c r="M60" s="212"/>
      <c r="N60" s="212"/>
      <c r="O60" s="212"/>
      <c r="P60" s="212"/>
      <c r="Q60" s="212"/>
      <c r="R60" s="212"/>
    </row>
    <row r="61" ht="15.75" customHeight="1">
      <c r="A61" s="212"/>
      <c r="B61" s="212"/>
      <c r="C61" s="212"/>
      <c r="D61" s="212"/>
      <c r="E61" s="212"/>
      <c r="F61" s="212"/>
      <c r="G61" s="212"/>
      <c r="H61" s="212"/>
      <c r="I61" s="212"/>
      <c r="J61" s="212"/>
      <c r="K61" s="212"/>
      <c r="L61" s="212"/>
      <c r="M61" s="212"/>
      <c r="N61" s="212"/>
      <c r="O61" s="212"/>
      <c r="P61" s="212"/>
      <c r="Q61" s="212"/>
      <c r="R61" s="212"/>
    </row>
    <row r="62" ht="15.75" customHeight="1">
      <c r="A62" s="212"/>
      <c r="B62" s="212"/>
      <c r="C62" s="212"/>
      <c r="D62" s="212"/>
      <c r="E62" s="212"/>
      <c r="F62" s="212"/>
      <c r="G62" s="212"/>
      <c r="H62" s="212"/>
      <c r="I62" s="212"/>
      <c r="J62" s="212"/>
      <c r="K62" s="212"/>
      <c r="L62" s="212"/>
      <c r="M62" s="212"/>
      <c r="N62" s="212"/>
      <c r="O62" s="212"/>
      <c r="P62" s="212"/>
      <c r="Q62" s="212"/>
      <c r="R62" s="212"/>
    </row>
    <row r="63" ht="15.75" customHeight="1">
      <c r="A63" s="212"/>
      <c r="B63" s="212"/>
      <c r="C63" s="212"/>
      <c r="D63" s="212"/>
      <c r="E63" s="212"/>
      <c r="F63" s="212"/>
      <c r="G63" s="212"/>
      <c r="H63" s="212"/>
      <c r="I63" s="212"/>
      <c r="J63" s="212"/>
      <c r="K63" s="212"/>
      <c r="L63" s="212"/>
      <c r="M63" s="212"/>
      <c r="N63" s="212"/>
      <c r="O63" s="212"/>
      <c r="P63" s="212"/>
      <c r="Q63" s="212"/>
      <c r="R63" s="212"/>
    </row>
    <row r="64" ht="15.75" customHeight="1">
      <c r="A64" s="212"/>
      <c r="B64" s="212"/>
      <c r="C64" s="212"/>
      <c r="D64" s="212"/>
      <c r="E64" s="212"/>
      <c r="F64" s="212"/>
      <c r="G64" s="212"/>
      <c r="H64" s="212"/>
      <c r="I64" s="212"/>
      <c r="J64" s="212"/>
      <c r="K64" s="212"/>
      <c r="L64" s="212"/>
      <c r="M64" s="212"/>
      <c r="N64" s="212"/>
      <c r="O64" s="212"/>
      <c r="P64" s="212"/>
      <c r="Q64" s="212"/>
      <c r="R64" s="212"/>
    </row>
    <row r="65" ht="15.75" customHeight="1">
      <c r="A65" s="212"/>
      <c r="B65" s="212"/>
      <c r="C65" s="212"/>
      <c r="D65" s="212"/>
      <c r="E65" s="212"/>
      <c r="F65" s="212"/>
      <c r="G65" s="212"/>
      <c r="H65" s="212"/>
      <c r="I65" s="212"/>
      <c r="J65" s="212"/>
      <c r="K65" s="212"/>
      <c r="L65" s="212"/>
      <c r="M65" s="212"/>
      <c r="N65" s="212"/>
      <c r="O65" s="212"/>
      <c r="P65" s="212"/>
      <c r="Q65" s="212"/>
      <c r="R65" s="212"/>
    </row>
    <row r="66" ht="15.75" customHeight="1">
      <c r="A66" s="212"/>
      <c r="B66" s="212"/>
      <c r="C66" s="212"/>
      <c r="D66" s="212"/>
      <c r="E66" s="212"/>
      <c r="F66" s="212"/>
      <c r="G66" s="212"/>
      <c r="H66" s="212"/>
      <c r="I66" s="212"/>
      <c r="J66" s="212"/>
      <c r="K66" s="212"/>
      <c r="L66" s="212"/>
      <c r="M66" s="212"/>
      <c r="N66" s="212"/>
      <c r="O66" s="212"/>
      <c r="P66" s="212"/>
      <c r="Q66" s="212"/>
      <c r="R66" s="212"/>
    </row>
    <row r="67" ht="15.75" customHeight="1">
      <c r="A67" s="212"/>
      <c r="B67" s="212"/>
      <c r="C67" s="212"/>
      <c r="D67" s="212"/>
      <c r="E67" s="212"/>
      <c r="F67" s="212"/>
      <c r="G67" s="212"/>
      <c r="H67" s="212"/>
      <c r="I67" s="212"/>
      <c r="J67" s="212"/>
      <c r="K67" s="212"/>
      <c r="L67" s="212"/>
      <c r="M67" s="212"/>
      <c r="N67" s="212"/>
      <c r="O67" s="212"/>
      <c r="P67" s="212"/>
      <c r="Q67" s="212"/>
      <c r="R67" s="212"/>
    </row>
    <row r="68" ht="15.75" customHeight="1">
      <c r="A68" s="212"/>
      <c r="B68" s="212"/>
      <c r="C68" s="212"/>
      <c r="D68" s="212"/>
      <c r="E68" s="212"/>
      <c r="F68" s="212"/>
      <c r="G68" s="212"/>
      <c r="H68" s="212"/>
      <c r="I68" s="212"/>
      <c r="J68" s="212"/>
      <c r="K68" s="212"/>
      <c r="L68" s="212"/>
      <c r="M68" s="212"/>
      <c r="N68" s="212"/>
      <c r="O68" s="212"/>
      <c r="P68" s="212"/>
      <c r="Q68" s="212"/>
      <c r="R68" s="212"/>
    </row>
    <row r="69" ht="15.75" customHeight="1">
      <c r="A69" s="212"/>
      <c r="B69" s="212"/>
      <c r="C69" s="212"/>
      <c r="D69" s="212"/>
      <c r="E69" s="212"/>
      <c r="F69" s="212"/>
      <c r="G69" s="212"/>
      <c r="H69" s="212"/>
      <c r="I69" s="212"/>
      <c r="J69" s="212"/>
      <c r="K69" s="212"/>
      <c r="L69" s="212"/>
      <c r="M69" s="212"/>
      <c r="N69" s="212"/>
      <c r="O69" s="212"/>
      <c r="P69" s="212"/>
      <c r="Q69" s="212"/>
      <c r="R69" s="212"/>
    </row>
    <row r="70" ht="15.75" customHeight="1">
      <c r="A70" s="212"/>
      <c r="B70" s="212"/>
      <c r="C70" s="212"/>
      <c r="D70" s="212"/>
      <c r="E70" s="212"/>
      <c r="F70" s="212"/>
      <c r="G70" s="212"/>
      <c r="H70" s="212"/>
      <c r="I70" s="212"/>
      <c r="J70" s="212"/>
      <c r="K70" s="212"/>
      <c r="L70" s="212"/>
      <c r="M70" s="212"/>
      <c r="N70" s="212"/>
      <c r="O70" s="212"/>
      <c r="P70" s="212"/>
      <c r="Q70" s="212"/>
      <c r="R70" s="212"/>
    </row>
    <row r="71" ht="15.75" customHeight="1">
      <c r="A71" s="212"/>
      <c r="B71" s="212"/>
      <c r="C71" s="212"/>
      <c r="D71" s="212"/>
      <c r="E71" s="212"/>
      <c r="F71" s="212"/>
      <c r="G71" s="212"/>
      <c r="H71" s="212"/>
      <c r="I71" s="212"/>
      <c r="J71" s="212"/>
      <c r="K71" s="212"/>
      <c r="L71" s="212"/>
      <c r="M71" s="212"/>
      <c r="N71" s="212"/>
      <c r="O71" s="212"/>
      <c r="P71" s="212"/>
      <c r="Q71" s="212"/>
      <c r="R71" s="212"/>
    </row>
    <row r="72" ht="15.75" customHeight="1">
      <c r="A72" s="212"/>
      <c r="B72" s="212"/>
      <c r="C72" s="212"/>
      <c r="D72" s="212"/>
      <c r="E72" s="212"/>
      <c r="F72" s="212"/>
      <c r="G72" s="212"/>
      <c r="H72" s="212"/>
      <c r="I72" s="212"/>
      <c r="J72" s="212"/>
      <c r="K72" s="212"/>
      <c r="L72" s="212"/>
      <c r="M72" s="212"/>
      <c r="N72" s="212"/>
      <c r="O72" s="212"/>
      <c r="P72" s="212"/>
      <c r="Q72" s="212"/>
      <c r="R72" s="212"/>
    </row>
    <row r="73" ht="15.75" customHeight="1">
      <c r="A73" s="212"/>
      <c r="B73" s="212"/>
      <c r="C73" s="212"/>
      <c r="D73" s="212"/>
      <c r="E73" s="212"/>
      <c r="F73" s="212"/>
      <c r="G73" s="212"/>
      <c r="H73" s="212"/>
      <c r="I73" s="212"/>
      <c r="J73" s="212"/>
      <c r="K73" s="212"/>
      <c r="L73" s="212"/>
      <c r="M73" s="212"/>
      <c r="N73" s="212"/>
      <c r="O73" s="212"/>
      <c r="P73" s="212"/>
      <c r="Q73" s="212"/>
      <c r="R73" s="212"/>
    </row>
    <row r="74" ht="15.75" customHeight="1">
      <c r="A74" s="212"/>
      <c r="B74" s="212"/>
      <c r="C74" s="212"/>
      <c r="D74" s="212"/>
      <c r="E74" s="212"/>
      <c r="F74" s="212"/>
      <c r="G74" s="212"/>
      <c r="H74" s="212"/>
      <c r="I74" s="212"/>
      <c r="J74" s="212"/>
      <c r="K74" s="212"/>
      <c r="L74" s="212"/>
      <c r="M74" s="212"/>
      <c r="N74" s="212"/>
      <c r="O74" s="212"/>
      <c r="P74" s="212"/>
      <c r="Q74" s="212"/>
      <c r="R74" s="212"/>
    </row>
    <row r="75" ht="15.75" customHeight="1">
      <c r="A75" s="212"/>
      <c r="B75" s="212"/>
      <c r="C75" s="212"/>
      <c r="D75" s="212"/>
      <c r="E75" s="212"/>
      <c r="F75" s="212"/>
      <c r="G75" s="212"/>
      <c r="H75" s="212"/>
      <c r="I75" s="212"/>
      <c r="J75" s="212"/>
      <c r="K75" s="212"/>
      <c r="L75" s="212"/>
      <c r="M75" s="212"/>
      <c r="N75" s="212"/>
      <c r="O75" s="212"/>
      <c r="P75" s="212"/>
      <c r="Q75" s="212"/>
      <c r="R75" s="212"/>
    </row>
    <row r="76" ht="15.75" customHeight="1">
      <c r="A76" s="212"/>
      <c r="B76" s="212"/>
      <c r="C76" s="212"/>
      <c r="D76" s="212"/>
      <c r="E76" s="212"/>
      <c r="F76" s="212"/>
      <c r="G76" s="212"/>
      <c r="H76" s="212"/>
      <c r="I76" s="212"/>
      <c r="J76" s="212"/>
      <c r="K76" s="212"/>
      <c r="L76" s="212"/>
      <c r="M76" s="212"/>
      <c r="N76" s="212"/>
      <c r="O76" s="212"/>
      <c r="P76" s="212"/>
      <c r="Q76" s="212"/>
      <c r="R76" s="212"/>
    </row>
    <row r="77" ht="15.75" customHeight="1">
      <c r="A77" s="212"/>
      <c r="B77" s="212"/>
      <c r="C77" s="212"/>
      <c r="D77" s="212"/>
      <c r="E77" s="212"/>
      <c r="F77" s="212"/>
      <c r="G77" s="212"/>
      <c r="H77" s="212"/>
      <c r="I77" s="212"/>
      <c r="J77" s="212"/>
      <c r="K77" s="212"/>
      <c r="L77" s="212"/>
      <c r="M77" s="212"/>
      <c r="N77" s="212"/>
      <c r="O77" s="212"/>
      <c r="P77" s="212"/>
      <c r="Q77" s="212"/>
      <c r="R77" s="212"/>
    </row>
    <row r="78" ht="15.75" customHeight="1">
      <c r="A78" s="212"/>
      <c r="B78" s="212"/>
      <c r="C78" s="212"/>
      <c r="D78" s="212"/>
      <c r="E78" s="212"/>
      <c r="F78" s="212"/>
      <c r="G78" s="212"/>
      <c r="H78" s="212"/>
      <c r="I78" s="212"/>
      <c r="J78" s="212"/>
      <c r="K78" s="212"/>
      <c r="L78" s="212"/>
      <c r="M78" s="212"/>
      <c r="N78" s="212"/>
      <c r="O78" s="212"/>
      <c r="P78" s="212"/>
      <c r="Q78" s="212"/>
      <c r="R78" s="212"/>
    </row>
    <row r="79" ht="15.75" customHeight="1">
      <c r="A79" s="212"/>
      <c r="B79" s="212"/>
      <c r="C79" s="212"/>
      <c r="D79" s="212"/>
      <c r="E79" s="212"/>
      <c r="F79" s="212"/>
      <c r="G79" s="212"/>
      <c r="H79" s="212"/>
      <c r="I79" s="212"/>
      <c r="J79" s="212"/>
      <c r="K79" s="212"/>
      <c r="L79" s="212"/>
      <c r="M79" s="212"/>
      <c r="N79" s="212"/>
      <c r="O79" s="212"/>
      <c r="P79" s="212"/>
      <c r="Q79" s="212"/>
      <c r="R79" s="212"/>
    </row>
    <row r="80" ht="15.75" customHeight="1">
      <c r="A80" s="212"/>
      <c r="B80" s="212"/>
      <c r="C80" s="212"/>
      <c r="D80" s="212"/>
      <c r="E80" s="212"/>
      <c r="F80" s="212"/>
      <c r="G80" s="212"/>
      <c r="H80" s="212"/>
      <c r="I80" s="212"/>
      <c r="J80" s="212"/>
      <c r="K80" s="212"/>
      <c r="L80" s="212"/>
      <c r="M80" s="212"/>
      <c r="N80" s="212"/>
      <c r="O80" s="212"/>
      <c r="P80" s="212"/>
      <c r="Q80" s="212"/>
      <c r="R80" s="212"/>
    </row>
    <row r="81" ht="15.75" customHeight="1">
      <c r="A81" s="212"/>
      <c r="B81" s="212"/>
      <c r="C81" s="212"/>
      <c r="D81" s="212"/>
      <c r="E81" s="212"/>
      <c r="F81" s="212"/>
      <c r="G81" s="212"/>
      <c r="H81" s="212"/>
      <c r="I81" s="212"/>
      <c r="J81" s="212"/>
      <c r="K81" s="212"/>
      <c r="L81" s="212"/>
      <c r="M81" s="212"/>
      <c r="N81" s="212"/>
      <c r="O81" s="212"/>
      <c r="P81" s="212"/>
      <c r="Q81" s="212"/>
      <c r="R81" s="212"/>
    </row>
    <row r="82" ht="15.75" customHeight="1">
      <c r="A82" s="212"/>
      <c r="B82" s="212"/>
      <c r="C82" s="212"/>
      <c r="D82" s="212"/>
      <c r="E82" s="212"/>
      <c r="F82" s="212"/>
      <c r="G82" s="212"/>
      <c r="H82" s="212"/>
      <c r="I82" s="212"/>
      <c r="J82" s="212"/>
      <c r="K82" s="212"/>
      <c r="L82" s="212"/>
      <c r="M82" s="212"/>
      <c r="N82" s="212"/>
      <c r="O82" s="212"/>
      <c r="P82" s="212"/>
      <c r="Q82" s="212"/>
      <c r="R82" s="212"/>
    </row>
    <row r="83" ht="15.75" customHeight="1">
      <c r="A83" s="212"/>
      <c r="B83" s="212"/>
      <c r="C83" s="212"/>
      <c r="D83" s="212"/>
      <c r="E83" s="212"/>
      <c r="F83" s="212"/>
      <c r="G83" s="212"/>
      <c r="H83" s="212"/>
      <c r="I83" s="212"/>
      <c r="J83" s="212"/>
      <c r="K83" s="212"/>
      <c r="L83" s="212"/>
      <c r="M83" s="212"/>
      <c r="N83" s="212"/>
      <c r="O83" s="212"/>
      <c r="P83" s="212"/>
      <c r="Q83" s="212"/>
      <c r="R83" s="212"/>
    </row>
    <row r="84" ht="15.75" customHeight="1">
      <c r="A84" s="212"/>
      <c r="B84" s="212"/>
      <c r="C84" s="212"/>
      <c r="D84" s="212"/>
      <c r="E84" s="212"/>
      <c r="F84" s="212"/>
      <c r="G84" s="212"/>
      <c r="H84" s="212"/>
      <c r="I84" s="212"/>
      <c r="J84" s="212"/>
      <c r="K84" s="212"/>
      <c r="L84" s="212"/>
      <c r="M84" s="212"/>
      <c r="N84" s="212"/>
      <c r="O84" s="212"/>
      <c r="P84" s="212"/>
      <c r="Q84" s="212"/>
      <c r="R84" s="212"/>
    </row>
    <row r="85" ht="15.75" customHeight="1">
      <c r="A85" s="212"/>
      <c r="B85" s="212"/>
      <c r="C85" s="212"/>
      <c r="D85" s="212"/>
      <c r="E85" s="212"/>
      <c r="F85" s="212"/>
      <c r="G85" s="212"/>
      <c r="H85" s="212"/>
      <c r="I85" s="212"/>
      <c r="J85" s="212"/>
      <c r="K85" s="212"/>
      <c r="L85" s="212"/>
      <c r="M85" s="212"/>
      <c r="N85" s="212"/>
      <c r="O85" s="212"/>
      <c r="P85" s="212"/>
      <c r="Q85" s="212"/>
      <c r="R85" s="212"/>
    </row>
    <row r="86" ht="15.75" customHeight="1">
      <c r="A86" s="212"/>
      <c r="B86" s="212"/>
      <c r="C86" s="212"/>
      <c r="D86" s="212"/>
      <c r="E86" s="212"/>
      <c r="F86" s="212"/>
      <c r="G86" s="212"/>
      <c r="H86" s="212"/>
      <c r="I86" s="212"/>
      <c r="J86" s="212"/>
      <c r="K86" s="212"/>
      <c r="L86" s="212"/>
      <c r="M86" s="212"/>
      <c r="N86" s="212"/>
      <c r="O86" s="212"/>
      <c r="P86" s="212"/>
      <c r="Q86" s="212"/>
      <c r="R86" s="212"/>
    </row>
    <row r="87" ht="15.75" customHeight="1">
      <c r="A87" s="212"/>
      <c r="B87" s="212"/>
      <c r="C87" s="212"/>
      <c r="D87" s="212"/>
      <c r="E87" s="212"/>
      <c r="F87" s="212"/>
      <c r="G87" s="212"/>
      <c r="H87" s="212"/>
      <c r="I87" s="212"/>
      <c r="J87" s="212"/>
      <c r="K87" s="212"/>
      <c r="L87" s="212"/>
      <c r="M87" s="212"/>
      <c r="N87" s="212"/>
      <c r="O87" s="212"/>
      <c r="P87" s="212"/>
      <c r="Q87" s="212"/>
      <c r="R87" s="212"/>
    </row>
    <row r="88" ht="15.75" customHeight="1">
      <c r="A88" s="212"/>
      <c r="B88" s="212"/>
      <c r="C88" s="212"/>
      <c r="D88" s="212"/>
      <c r="E88" s="212"/>
      <c r="F88" s="212"/>
      <c r="G88" s="212"/>
      <c r="H88" s="212"/>
      <c r="I88" s="212"/>
      <c r="J88" s="212"/>
      <c r="K88" s="212"/>
      <c r="L88" s="212"/>
      <c r="M88" s="212"/>
      <c r="N88" s="212"/>
      <c r="O88" s="212"/>
      <c r="P88" s="212"/>
      <c r="Q88" s="212"/>
      <c r="R88" s="212"/>
    </row>
    <row r="89" ht="15.75" customHeight="1">
      <c r="A89" s="212"/>
      <c r="B89" s="212"/>
      <c r="C89" s="212"/>
      <c r="D89" s="212"/>
      <c r="E89" s="212"/>
      <c r="F89" s="212"/>
      <c r="G89" s="212"/>
      <c r="H89" s="212"/>
      <c r="I89" s="212"/>
      <c r="J89" s="212"/>
      <c r="K89" s="212"/>
      <c r="L89" s="212"/>
      <c r="M89" s="212"/>
      <c r="N89" s="212"/>
      <c r="O89" s="212"/>
      <c r="P89" s="212"/>
      <c r="Q89" s="212"/>
      <c r="R89" s="212"/>
    </row>
    <row r="90" ht="15.75" customHeight="1">
      <c r="A90" s="212"/>
      <c r="B90" s="212"/>
      <c r="C90" s="212"/>
      <c r="D90" s="212"/>
      <c r="E90" s="212"/>
      <c r="F90" s="212"/>
      <c r="G90" s="212"/>
      <c r="H90" s="212"/>
      <c r="I90" s="212"/>
      <c r="J90" s="212"/>
      <c r="K90" s="212"/>
      <c r="L90" s="212"/>
      <c r="M90" s="212"/>
      <c r="N90" s="212"/>
      <c r="O90" s="212"/>
      <c r="P90" s="212"/>
      <c r="Q90" s="212"/>
      <c r="R90" s="212"/>
    </row>
    <row r="91" ht="15.75" customHeight="1">
      <c r="A91" s="212"/>
      <c r="B91" s="212"/>
      <c r="C91" s="212"/>
      <c r="D91" s="212"/>
      <c r="E91" s="212"/>
      <c r="F91" s="212"/>
      <c r="G91" s="212"/>
      <c r="H91" s="212"/>
      <c r="I91" s="212"/>
      <c r="J91" s="212"/>
      <c r="K91" s="212"/>
      <c r="L91" s="212"/>
      <c r="M91" s="212"/>
      <c r="N91" s="212"/>
      <c r="O91" s="212"/>
      <c r="P91" s="212"/>
      <c r="Q91" s="212"/>
      <c r="R91" s="212"/>
    </row>
    <row r="92" ht="15.75" customHeight="1">
      <c r="A92" s="212"/>
      <c r="B92" s="212"/>
      <c r="C92" s="212"/>
      <c r="D92" s="212"/>
      <c r="E92" s="212"/>
      <c r="F92" s="212"/>
      <c r="G92" s="212"/>
      <c r="H92" s="212"/>
      <c r="I92" s="212"/>
      <c r="J92" s="212"/>
      <c r="K92" s="212"/>
      <c r="L92" s="212"/>
      <c r="M92" s="212"/>
      <c r="N92" s="212"/>
      <c r="O92" s="212"/>
      <c r="P92" s="212"/>
      <c r="Q92" s="212"/>
      <c r="R92" s="212"/>
    </row>
    <row r="93" ht="15.75" customHeight="1">
      <c r="A93" s="212"/>
      <c r="B93" s="212"/>
      <c r="C93" s="212"/>
      <c r="D93" s="212"/>
      <c r="E93" s="212"/>
      <c r="F93" s="212"/>
      <c r="G93" s="212"/>
      <c r="H93" s="212"/>
      <c r="I93" s="212"/>
      <c r="J93" s="212"/>
      <c r="K93" s="212"/>
      <c r="L93" s="212"/>
      <c r="M93" s="212"/>
      <c r="N93" s="212"/>
      <c r="O93" s="212"/>
      <c r="P93" s="212"/>
      <c r="Q93" s="212"/>
      <c r="R93" s="212"/>
    </row>
    <row r="94" ht="15.75" customHeight="1">
      <c r="A94" s="212"/>
      <c r="B94" s="212"/>
      <c r="C94" s="212"/>
      <c r="D94" s="212"/>
      <c r="E94" s="212"/>
      <c r="F94" s="212"/>
      <c r="G94" s="212"/>
      <c r="H94" s="212"/>
      <c r="I94" s="212"/>
      <c r="J94" s="212"/>
      <c r="K94" s="212"/>
      <c r="L94" s="212"/>
      <c r="M94" s="212"/>
      <c r="N94" s="212"/>
      <c r="O94" s="212"/>
      <c r="P94" s="212"/>
      <c r="Q94" s="212"/>
      <c r="R94" s="212"/>
    </row>
    <row r="95" ht="15.75" customHeight="1">
      <c r="A95" s="212"/>
      <c r="B95" s="212"/>
      <c r="C95" s="212"/>
      <c r="D95" s="212"/>
      <c r="E95" s="212"/>
      <c r="F95" s="212"/>
      <c r="G95" s="212"/>
      <c r="H95" s="212"/>
      <c r="I95" s="212"/>
      <c r="J95" s="212"/>
      <c r="K95" s="212"/>
      <c r="L95" s="212"/>
      <c r="M95" s="212"/>
      <c r="N95" s="212"/>
      <c r="O95" s="212"/>
      <c r="P95" s="212"/>
      <c r="Q95" s="212"/>
      <c r="R95" s="212"/>
    </row>
    <row r="96" ht="15.75" customHeight="1">
      <c r="A96" s="212"/>
      <c r="B96" s="212"/>
      <c r="C96" s="212"/>
      <c r="D96" s="212"/>
      <c r="E96" s="212"/>
      <c r="F96" s="212"/>
      <c r="G96" s="212"/>
      <c r="H96" s="212"/>
      <c r="I96" s="212"/>
      <c r="J96" s="212"/>
      <c r="K96" s="212"/>
      <c r="L96" s="212"/>
      <c r="M96" s="212"/>
      <c r="N96" s="212"/>
      <c r="O96" s="212"/>
      <c r="P96" s="212"/>
      <c r="Q96" s="212"/>
      <c r="R96" s="212"/>
    </row>
    <row r="97" ht="15.75" customHeight="1">
      <c r="A97" s="212"/>
      <c r="B97" s="212"/>
      <c r="C97" s="212"/>
      <c r="D97" s="212"/>
      <c r="E97" s="212"/>
      <c r="F97" s="212"/>
      <c r="G97" s="212"/>
      <c r="H97" s="212"/>
      <c r="I97" s="212"/>
      <c r="J97" s="212"/>
      <c r="K97" s="212"/>
      <c r="L97" s="212"/>
      <c r="M97" s="212"/>
      <c r="N97" s="212"/>
      <c r="O97" s="212"/>
      <c r="P97" s="212"/>
      <c r="Q97" s="212"/>
      <c r="R97" s="212"/>
    </row>
    <row r="98" ht="15.75" customHeight="1">
      <c r="A98" s="212"/>
      <c r="B98" s="212"/>
      <c r="C98" s="212"/>
      <c r="D98" s="212"/>
      <c r="E98" s="212"/>
      <c r="F98" s="212"/>
      <c r="G98" s="212"/>
      <c r="H98" s="212"/>
      <c r="I98" s="212"/>
      <c r="J98" s="212"/>
      <c r="K98" s="212"/>
      <c r="L98" s="212"/>
      <c r="M98" s="212"/>
      <c r="N98" s="212"/>
      <c r="O98" s="212"/>
      <c r="P98" s="212"/>
      <c r="Q98" s="212"/>
      <c r="R98" s="212"/>
    </row>
    <row r="99" ht="15.75" customHeight="1">
      <c r="A99" s="212"/>
      <c r="B99" s="212"/>
      <c r="C99" s="212"/>
      <c r="D99" s="212"/>
      <c r="E99" s="212"/>
      <c r="F99" s="212"/>
      <c r="G99" s="212"/>
      <c r="H99" s="212"/>
      <c r="I99" s="212"/>
      <c r="J99" s="212"/>
      <c r="K99" s="212"/>
      <c r="L99" s="212"/>
      <c r="M99" s="212"/>
      <c r="N99" s="212"/>
      <c r="O99" s="212"/>
      <c r="P99" s="212"/>
      <c r="Q99" s="212"/>
      <c r="R99" s="212"/>
    </row>
    <row r="100" ht="15.75" customHeight="1">
      <c r="A100" s="212"/>
      <c r="B100" s="212"/>
      <c r="C100" s="212"/>
      <c r="D100" s="212"/>
      <c r="E100" s="212"/>
      <c r="F100" s="212"/>
      <c r="G100" s="212"/>
      <c r="H100" s="212"/>
      <c r="I100" s="212"/>
      <c r="J100" s="212"/>
      <c r="K100" s="212"/>
      <c r="L100" s="212"/>
      <c r="M100" s="212"/>
      <c r="N100" s="212"/>
      <c r="O100" s="212"/>
      <c r="P100" s="212"/>
      <c r="Q100" s="212"/>
      <c r="R100" s="212"/>
    </row>
  </sheetData>
  <mergeCells count="3">
    <mergeCell ref="A1:F1"/>
    <mergeCell ref="A2:H2"/>
    <mergeCell ref="A49:I49"/>
  </mergeCells>
  <conditionalFormatting sqref="B35:F37 B36:H36">
    <cfRule type="cellIs" dxfId="1" priority="1" operator="lessThan">
      <formula>0</formula>
    </cfRule>
  </conditionalFormatting>
  <conditionalFormatting sqref="G35:G37">
    <cfRule type="cellIs" dxfId="1" priority="2" operator="lessThan">
      <formula>0</formula>
    </cfRule>
  </conditionalFormatting>
  <conditionalFormatting sqref="H35:H37">
    <cfRule type="cellIs" dxfId="1" priority="3" operator="lessThan">
      <formula>0</formula>
    </cfRule>
  </conditionalFormatting>
  <printOptions/>
  <pageMargins bottom="0.7480314960629921" footer="0.0" header="0.0" left="0.7086614173228347" right="0.7086614173228347" top="0.7480314960629921"/>
  <pageSetup scale="67"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
    <col customWidth="1" min="2" max="2" width="35.71"/>
    <col customWidth="1" min="3" max="3" width="16.86"/>
    <col customWidth="1" min="4" max="4" width="17.14"/>
    <col customWidth="1" min="5" max="5" width="17.29"/>
    <col customWidth="1" min="6" max="6" width="17.71"/>
    <col customWidth="1" min="7" max="7" width="18.86"/>
    <col customWidth="1" min="8" max="8" width="17.86"/>
    <col customWidth="1" min="9" max="9" width="18.29"/>
    <col customWidth="1" min="10" max="11" width="8.71"/>
  </cols>
  <sheetData>
    <row r="1">
      <c r="A1" s="119"/>
    </row>
    <row r="2">
      <c r="A2" s="26" t="s">
        <v>432</v>
      </c>
      <c r="J2" s="59"/>
    </row>
    <row r="4">
      <c r="A4" s="241" t="s">
        <v>433</v>
      </c>
      <c r="B4" s="241" t="s">
        <v>174</v>
      </c>
      <c r="C4" s="125" t="s">
        <v>177</v>
      </c>
      <c r="D4" s="125" t="s">
        <v>178</v>
      </c>
      <c r="E4" s="125" t="s">
        <v>179</v>
      </c>
      <c r="F4" s="125" t="s">
        <v>180</v>
      </c>
      <c r="G4" s="125" t="s">
        <v>181</v>
      </c>
      <c r="H4" s="125" t="s">
        <v>182</v>
      </c>
      <c r="I4" s="125" t="s">
        <v>183</v>
      </c>
    </row>
    <row r="5">
      <c r="A5" s="242">
        <v>1.0</v>
      </c>
      <c r="B5" s="242" t="s">
        <v>434</v>
      </c>
      <c r="C5" s="243"/>
      <c r="D5" s="243"/>
      <c r="E5" s="243"/>
      <c r="F5" s="243"/>
      <c r="G5" s="243"/>
      <c r="H5" s="243"/>
      <c r="I5" s="243"/>
    </row>
    <row r="6">
      <c r="A6" s="242"/>
      <c r="B6" s="244" t="s">
        <v>435</v>
      </c>
      <c r="C6" s="243" t="str">
        <f>'6.Cons Profit &amp; Loss'!B13</f>
        <v>  75,455,427 </v>
      </c>
      <c r="D6" s="243" t="str">
        <f>'6.Cons Profit &amp; Loss'!C13</f>
        <v>  140,348,972 </v>
      </c>
      <c r="E6" s="243" t="str">
        <f>'6.Cons Profit &amp; Loss'!D13</f>
        <v>  170,376,121 </v>
      </c>
      <c r="F6" s="243" t="str">
        <f>'6.Cons Profit &amp; Loss'!E13</f>
        <v>  203,055,112 </v>
      </c>
      <c r="G6" s="243" t="str">
        <f>'6.Cons Profit &amp; Loss'!F13</f>
        <v>  238,576,063 </v>
      </c>
      <c r="H6" s="243" t="str">
        <f>'6.Cons Profit &amp; Loss'!G13</f>
        <v>  276,796,874 </v>
      </c>
      <c r="I6" s="243" t="str">
        <f>'6.Cons Profit &amp; Loss'!H13</f>
        <v>  318,243,327 </v>
      </c>
    </row>
    <row r="7">
      <c r="A7" s="242">
        <v>2.0</v>
      </c>
      <c r="B7" s="242" t="s">
        <v>436</v>
      </c>
      <c r="C7" s="243" t="str">
        <f>'1.Project Cost and MOF'!E22</f>
        <v>  40,742,790 </v>
      </c>
      <c r="D7" s="243"/>
      <c r="E7" s="243"/>
      <c r="F7" s="243"/>
      <c r="G7" s="243"/>
      <c r="H7" s="243"/>
      <c r="I7" s="243"/>
    </row>
    <row r="8">
      <c r="A8" s="242"/>
      <c r="B8" s="242" t="s">
        <v>437</v>
      </c>
      <c r="C8" s="243"/>
      <c r="D8" s="243"/>
      <c r="E8" s="243"/>
      <c r="F8" s="243"/>
      <c r="G8" s="243"/>
      <c r="H8" s="243"/>
      <c r="I8" s="243"/>
    </row>
    <row r="9">
      <c r="A9" s="242">
        <v>3.0</v>
      </c>
      <c r="B9" s="242" t="str">
        <f>'7.Balance Sheet'!A33</f>
        <v>Smart Grant -in-Aid</v>
      </c>
      <c r="C9" s="243" t="str">
        <f>'1.Project Cost and MOF'!E20</f>
        <v>  15,678,786 </v>
      </c>
      <c r="D9" s="243"/>
      <c r="E9" s="243"/>
      <c r="F9" s="243"/>
      <c r="G9" s="243"/>
      <c r="H9" s="243"/>
      <c r="I9" s="243"/>
    </row>
    <row r="10">
      <c r="A10" s="242">
        <v>4.0</v>
      </c>
      <c r="B10" s="242" t="s">
        <v>438</v>
      </c>
      <c r="C10" s="243" t="str">
        <f>'1.Project Cost and MOF'!E21</f>
        <v>  -   </v>
      </c>
      <c r="D10" s="243"/>
      <c r="E10" s="243"/>
      <c r="F10" s="243"/>
      <c r="G10" s="243"/>
      <c r="H10" s="243"/>
      <c r="I10" s="243"/>
    </row>
    <row r="11">
      <c r="A11" s="242">
        <v>5.0</v>
      </c>
      <c r="B11" s="242" t="s">
        <v>439</v>
      </c>
      <c r="C11" s="243" t="str">
        <f>'5.Closing Stock &amp; W Capital'!E50*75%</f>
        <v>  30,290,266 </v>
      </c>
      <c r="D11" s="243" t="str">
        <f>'5.Closing Stock &amp; W Capital'!F50</f>
        <v>  50,255,913 </v>
      </c>
      <c r="E11" s="243" t="str">
        <f>'5.Closing Stock &amp; W Capital'!G50</f>
        <v>  60,434,308 </v>
      </c>
      <c r="F11" s="243" t="str">
        <f>'5.Closing Stock &amp; W Capital'!H50</f>
        <v>  71,504,901 </v>
      </c>
      <c r="G11" s="243" t="str">
        <f>'5.Closing Stock &amp; W Capital'!I50</f>
        <v>  83,531,469 </v>
      </c>
      <c r="H11" s="243" t="str">
        <f>'5.Closing Stock &amp; W Capital'!J50</f>
        <v>  96,553,608 </v>
      </c>
      <c r="I11" s="243" t="str">
        <f>'5.Closing Stock &amp; W Capital'!K50</f>
        <v>  110,669,132 </v>
      </c>
    </row>
    <row r="12">
      <c r="A12" s="242"/>
      <c r="B12" s="242" t="s">
        <v>440</v>
      </c>
      <c r="C12" s="245" t="str">
        <f t="shared" ref="C12:I12" si="1">SUM(C6:C11)</f>
        <v>  162,167,268 </v>
      </c>
      <c r="D12" s="245" t="str">
        <f t="shared" si="1"/>
        <v>  190,604,885 </v>
      </c>
      <c r="E12" s="245" t="str">
        <f t="shared" si="1"/>
        <v>  230,810,428 </v>
      </c>
      <c r="F12" s="245" t="str">
        <f t="shared" si="1"/>
        <v>  274,560,014 </v>
      </c>
      <c r="G12" s="245" t="str">
        <f t="shared" si="1"/>
        <v>  322,107,531 </v>
      </c>
      <c r="H12" s="245" t="str">
        <f t="shared" si="1"/>
        <v>  373,350,482 </v>
      </c>
      <c r="I12" s="245" t="str">
        <f t="shared" si="1"/>
        <v>  428,912,458 </v>
      </c>
    </row>
    <row r="13">
      <c r="A13" s="246" t="s">
        <v>441</v>
      </c>
      <c r="B13" s="6"/>
      <c r="C13" s="247"/>
      <c r="D13" s="247"/>
      <c r="E13" s="247"/>
      <c r="F13" s="247"/>
      <c r="G13" s="247"/>
      <c r="H13" s="247"/>
      <c r="I13" s="247"/>
    </row>
    <row r="14">
      <c r="A14" s="242">
        <v>1.0</v>
      </c>
      <c r="B14" s="242" t="s">
        <v>442</v>
      </c>
      <c r="C14" s="247"/>
      <c r="D14" s="247"/>
      <c r="E14" s="247"/>
      <c r="F14" s="247"/>
      <c r="G14" s="247"/>
      <c r="H14" s="247"/>
      <c r="I14" s="247"/>
    </row>
    <row r="15">
      <c r="A15" s="248" t="s">
        <v>443</v>
      </c>
      <c r="B15" s="247" t="str">
        <f t="shared" ref="B15:B16" si="2">'[1]Total Cost of Project'!C3</f>
        <v>#REF!</v>
      </c>
      <c r="C15" s="249" t="str">
        <f>'1.Project Cost and MOF'!D6</f>
        <v>  19,094,000 </v>
      </c>
      <c r="D15" s="249"/>
      <c r="E15" s="249"/>
      <c r="F15" s="249"/>
      <c r="G15" s="249"/>
      <c r="H15" s="249"/>
      <c r="I15" s="249"/>
    </row>
    <row r="16">
      <c r="A16" s="248" t="s">
        <v>444</v>
      </c>
      <c r="B16" s="86" t="str">
        <f t="shared" si="2"/>
        <v>#REF!</v>
      </c>
      <c r="C16" s="249" t="str">
        <f>'1.Project Cost and MOF'!D7</f>
        <v>  5,927,300 </v>
      </c>
      <c r="D16" s="249"/>
      <c r="E16" s="249"/>
      <c r="F16" s="249"/>
      <c r="G16" s="249"/>
      <c r="H16" s="249"/>
      <c r="I16" s="249"/>
    </row>
    <row r="17">
      <c r="A17" s="248" t="s">
        <v>445</v>
      </c>
      <c r="B17" s="86" t="s">
        <v>446</v>
      </c>
      <c r="C17" s="249" t="str">
        <f>'1.Project Cost and MOF'!D8</f>
        <v>  414,000 </v>
      </c>
      <c r="D17" s="249"/>
      <c r="E17" s="249"/>
      <c r="F17" s="249"/>
      <c r="G17" s="249"/>
      <c r="H17" s="249"/>
      <c r="I17" s="249"/>
    </row>
    <row r="18">
      <c r="A18" s="248" t="s">
        <v>447</v>
      </c>
      <c r="B18" s="86" t="s">
        <v>448</v>
      </c>
      <c r="C18" s="249" t="str">
        <f>'1.Project Cost and MOF'!D9</f>
        <v>  633,070 </v>
      </c>
      <c r="D18" s="249"/>
      <c r="E18" s="249"/>
      <c r="F18" s="249"/>
      <c r="G18" s="249"/>
      <c r="H18" s="249"/>
      <c r="I18" s="249"/>
    </row>
    <row r="19">
      <c r="A19" s="248" t="s">
        <v>449</v>
      </c>
      <c r="B19" s="86" t="s">
        <v>220</v>
      </c>
      <c r="C19" s="249" t="str">
        <f>'1.Project Cost and MOF'!D10</f>
        <v>  -   </v>
      </c>
      <c r="D19" s="243"/>
      <c r="E19" s="243"/>
      <c r="F19" s="243"/>
      <c r="G19" s="243"/>
      <c r="H19" s="243"/>
      <c r="I19" s="243"/>
    </row>
    <row r="20">
      <c r="A20" s="248" t="s">
        <v>450</v>
      </c>
      <c r="B20" s="86" t="s">
        <v>451</v>
      </c>
      <c r="C20" s="249" t="str">
        <f>'1.Project Cost and MOF'!D11</f>
        <v>  62,940 </v>
      </c>
      <c r="D20" s="243"/>
      <c r="E20" s="243"/>
      <c r="F20" s="243"/>
      <c r="G20" s="243"/>
      <c r="H20" s="243"/>
      <c r="I20" s="243"/>
    </row>
    <row r="21" ht="15.75" customHeight="1">
      <c r="A21" s="242">
        <v>2.0</v>
      </c>
      <c r="B21" s="242" t="s">
        <v>452</v>
      </c>
      <c r="C21" s="247"/>
      <c r="D21" s="247"/>
      <c r="E21" s="247"/>
      <c r="F21" s="247"/>
      <c r="G21" s="247"/>
      <c r="H21" s="247"/>
      <c r="I21" s="247"/>
    </row>
    <row r="22" ht="15.75" customHeight="1">
      <c r="A22" s="248" t="s">
        <v>443</v>
      </c>
      <c r="B22" s="247" t="s">
        <v>385</v>
      </c>
      <c r="C22" s="243" t="str">
        <f>'6.Cons Profit &amp; Loss'!B23</f>
        <v>  59,870,240 </v>
      </c>
      <c r="D22" s="243" t="str">
        <f>'6.Cons Profit &amp; Loss'!C23</f>
        <v>  112,521,195 </v>
      </c>
      <c r="E22" s="243" t="str">
        <f>'6.Cons Profit &amp; Loss'!D23</f>
        <v>  136,133,572 </v>
      </c>
      <c r="F22" s="243" t="str">
        <f>'6.Cons Profit &amp; Loss'!E23</f>
        <v>  161,825,883 </v>
      </c>
      <c r="G22" s="243" t="str">
        <f>'6.Cons Profit &amp; Loss'!F23</f>
        <v>  189,747,091 </v>
      </c>
      <c r="H22" s="243" t="str">
        <f>'6.Cons Profit &amp; Loss'!G23</f>
        <v>  220,055,855 </v>
      </c>
      <c r="I22" s="243" t="str">
        <f>'6.Cons Profit &amp; Loss'!H23</f>
        <v>  252,921,128 </v>
      </c>
    </row>
    <row r="23" ht="15.75" customHeight="1">
      <c r="A23" s="248" t="s">
        <v>444</v>
      </c>
      <c r="B23" s="247" t="s">
        <v>387</v>
      </c>
      <c r="C23" s="243" t="str">
        <f>'6.Cons Profit &amp; Loss'!B34</f>
        <v>  11,600,000 </v>
      </c>
      <c r="D23" s="243" t="str">
        <f>'6.Cons Profit &amp; Loss'!C34</f>
        <v>  12,180,000 </v>
      </c>
      <c r="E23" s="243" t="str">
        <f>'6.Cons Profit &amp; Loss'!D34</f>
        <v>  12,789,000 </v>
      </c>
      <c r="F23" s="243" t="str">
        <f>'6.Cons Profit &amp; Loss'!E34</f>
        <v>  13,428,450 </v>
      </c>
      <c r="G23" s="243" t="str">
        <f>'6.Cons Profit &amp; Loss'!F34</f>
        <v>  14,099,873 </v>
      </c>
      <c r="H23" s="243" t="str">
        <f>'6.Cons Profit &amp; Loss'!G34</f>
        <v>  14,804,866 </v>
      </c>
      <c r="I23" s="243" t="str">
        <f>'6.Cons Profit &amp; Loss'!H34</f>
        <v>  15,545,109 </v>
      </c>
    </row>
    <row r="24" ht="15.75" customHeight="1">
      <c r="A24" s="250">
        <v>3.0</v>
      </c>
      <c r="B24" s="242" t="s">
        <v>453</v>
      </c>
      <c r="C24" s="243"/>
      <c r="D24" s="243"/>
      <c r="E24" s="243"/>
      <c r="F24" s="243"/>
      <c r="G24" s="243"/>
      <c r="H24" s="243"/>
      <c r="I24" s="243"/>
    </row>
    <row r="25" ht="15.75" customHeight="1">
      <c r="A25" s="248"/>
      <c r="B25" s="247" t="s">
        <v>454</v>
      </c>
      <c r="C25" s="243" t="str">
        <f>SUM('4.TL repayment sch'!E10:E21)</f>
        <v>  -   </v>
      </c>
      <c r="D25" s="243" t="str">
        <f>SUM('4.TL repayment sch'!E22:E33)</f>
        <v>  -   </v>
      </c>
      <c r="E25" s="243" t="str">
        <f>SUM('4.TL repayment sch'!E34:E45)</f>
        <v>  -   </v>
      </c>
      <c r="F25" s="243" t="str">
        <f>SUM('4.TL repayment sch'!E46:E57)</f>
        <v>  -   </v>
      </c>
      <c r="G25" s="243" t="str">
        <f>SUM('4.TL repayment sch'!E58:E69)</f>
        <v>  -   </v>
      </c>
      <c r="H25" s="243" t="str">
        <f>SUM('4.TL repayment sch'!E70:E81)</f>
        <v>  -   </v>
      </c>
      <c r="I25" s="243" t="str">
        <f>SUM('4.TL repayment sch'!E82:E93)</f>
        <v>  -   </v>
      </c>
    </row>
    <row r="26" ht="15.75" customHeight="1">
      <c r="A26" s="248"/>
      <c r="B26" s="247" t="s">
        <v>455</v>
      </c>
      <c r="C26" s="243" t="str">
        <f>SUM('4.TL repayment sch'!D10:D21)</f>
        <v>  -   </v>
      </c>
      <c r="D26" s="243" t="str">
        <f>SUM('4.TL repayment sch'!D22:D33)</f>
        <v>  -   </v>
      </c>
      <c r="E26" s="243" t="str">
        <f>SUM('4.TL repayment sch'!D34:D45)</f>
        <v>  -   </v>
      </c>
      <c r="F26" s="243" t="str">
        <f>SUM('4.TL repayment sch'!D46:D57)</f>
        <v>  -   </v>
      </c>
      <c r="G26" s="243" t="str">
        <f>SUM('4.TL repayment sch'!D58:D69)</f>
        <v>  -   </v>
      </c>
      <c r="H26" s="243" t="str">
        <f>SUM('4.TL repayment sch'!D70:D81)</f>
        <v>  -   </v>
      </c>
      <c r="I26" s="243" t="str">
        <f>SUM('4.TL repayment sch'!D82:D93)</f>
        <v>  -   </v>
      </c>
    </row>
    <row r="27" ht="15.75" customHeight="1">
      <c r="A27" s="248"/>
      <c r="B27" s="247" t="s">
        <v>456</v>
      </c>
      <c r="C27" s="243" t="str">
        <f t="shared" ref="C27:I27" si="3">C11</f>
        <v>  30,290,266 </v>
      </c>
      <c r="D27" s="243" t="str">
        <f t="shared" si="3"/>
        <v>  50,255,913 </v>
      </c>
      <c r="E27" s="243" t="str">
        <f t="shared" si="3"/>
        <v>  60,434,308 </v>
      </c>
      <c r="F27" s="243" t="str">
        <f t="shared" si="3"/>
        <v>  71,504,901 </v>
      </c>
      <c r="G27" s="243" t="str">
        <f t="shared" si="3"/>
        <v>  83,531,469 </v>
      </c>
      <c r="H27" s="243" t="str">
        <f t="shared" si="3"/>
        <v>  96,553,608 </v>
      </c>
      <c r="I27" s="243" t="str">
        <f t="shared" si="3"/>
        <v>  110,669,132 </v>
      </c>
    </row>
    <row r="28" ht="15.75" customHeight="1">
      <c r="A28" s="248"/>
      <c r="B28" s="247" t="s">
        <v>457</v>
      </c>
      <c r="C28" s="251" t="str">
        <f t="shared" ref="C28:I28" si="4">C27*12%</f>
        <v>  3,634,832 </v>
      </c>
      <c r="D28" s="251" t="str">
        <f t="shared" si="4"/>
        <v>  6,030,710 </v>
      </c>
      <c r="E28" s="251" t="str">
        <f t="shared" si="4"/>
        <v>  7,252,117 </v>
      </c>
      <c r="F28" s="251" t="str">
        <f t="shared" si="4"/>
        <v>  8,580,588 </v>
      </c>
      <c r="G28" s="251" t="str">
        <f t="shared" si="4"/>
        <v>  10,023,776 </v>
      </c>
      <c r="H28" s="251" t="str">
        <f t="shared" si="4"/>
        <v>  11,586,433 </v>
      </c>
      <c r="I28" s="251" t="str">
        <f t="shared" si="4"/>
        <v>  13,280,296 </v>
      </c>
    </row>
    <row r="29" ht="15.75" customHeight="1">
      <c r="A29" s="242">
        <v>4.0</v>
      </c>
      <c r="B29" s="242" t="s">
        <v>458</v>
      </c>
      <c r="C29" s="243" t="str">
        <f>'6.Cons Profit &amp; Loss'!B48</f>
        <v>  (688,839)</v>
      </c>
      <c r="D29" s="243" t="str">
        <f>'6.Cons Profit &amp; Loss'!C48</f>
        <v>  1,735,273 </v>
      </c>
      <c r="E29" s="243" t="str">
        <f>'6.Cons Profit &amp; Loss'!D48</f>
        <v>  2,968,791 </v>
      </c>
      <c r="F29" s="243" t="str">
        <f>'6.Cons Profit &amp; Loss'!E48</f>
        <v>  4,296,189 </v>
      </c>
      <c r="G29" s="243" t="str">
        <f>'6.Cons Profit &amp; Loss'!F48</f>
        <v>  5,728,971 </v>
      </c>
      <c r="H29" s="243" t="str">
        <f>'6.Cons Profit &amp; Loss'!G48</f>
        <v>  7,195,901 </v>
      </c>
      <c r="I29" s="243" t="str">
        <f>'6.Cons Profit &amp; Loss'!H48</f>
        <v>  8,778,230 </v>
      </c>
    </row>
    <row r="30" ht="15.75" customHeight="1">
      <c r="A30" s="242"/>
      <c r="B30" s="242" t="s">
        <v>459</v>
      </c>
      <c r="C30" s="245" t="str">
        <f t="shared" ref="C30:I30" si="5">SUM(C15:C29)</f>
        <v>  130,837,808 </v>
      </c>
      <c r="D30" s="245" t="str">
        <f t="shared" si="5"/>
        <v>  182,723,091 </v>
      </c>
      <c r="E30" s="245" t="str">
        <f t="shared" si="5"/>
        <v>  219,577,787 </v>
      </c>
      <c r="F30" s="245" t="str">
        <f t="shared" si="5"/>
        <v>  259,636,012 </v>
      </c>
      <c r="G30" s="245" t="str">
        <f t="shared" si="5"/>
        <v>  303,131,179 </v>
      </c>
      <c r="H30" s="245" t="str">
        <f t="shared" si="5"/>
        <v>  350,196,663 </v>
      </c>
      <c r="I30" s="245" t="str">
        <f t="shared" si="5"/>
        <v>  401,193,895 </v>
      </c>
    </row>
    <row r="31" ht="15.75" customHeight="1">
      <c r="A31" s="242"/>
      <c r="B31" s="242" t="s">
        <v>460</v>
      </c>
      <c r="C31" s="245" t="str">
        <f t="shared" ref="C31:I31" si="6">C12-C30</f>
        <v>  31,329,460 </v>
      </c>
      <c r="D31" s="245" t="str">
        <f t="shared" si="6"/>
        <v>  7,881,794 </v>
      </c>
      <c r="E31" s="245" t="str">
        <f t="shared" si="6"/>
        <v>  11,232,642 </v>
      </c>
      <c r="F31" s="245" t="str">
        <f t="shared" si="6"/>
        <v>  14,924,002 </v>
      </c>
      <c r="G31" s="245" t="str">
        <f t="shared" si="6"/>
        <v>  18,976,352 </v>
      </c>
      <c r="H31" s="245" t="str">
        <f t="shared" si="6"/>
        <v>  23,153,819 </v>
      </c>
      <c r="I31" s="245" t="str">
        <f t="shared" si="6"/>
        <v>  27,718,563 </v>
      </c>
    </row>
    <row r="32" ht="15.75" customHeight="1">
      <c r="A32" s="250"/>
      <c r="B32" s="247" t="s">
        <v>461</v>
      </c>
      <c r="C32" s="247"/>
      <c r="D32" s="243" t="str">
        <f t="shared" ref="D32:I32" si="7">C33</f>
        <v>  31,329,460 </v>
      </c>
      <c r="E32" s="243" t="str">
        <f t="shared" si="7"/>
        <v>  39,211,254 </v>
      </c>
      <c r="F32" s="243" t="str">
        <f t="shared" si="7"/>
        <v>  50,443,895 </v>
      </c>
      <c r="G32" s="243" t="str">
        <f t="shared" si="7"/>
        <v>  65,367,897 </v>
      </c>
      <c r="H32" s="243" t="str">
        <f t="shared" si="7"/>
        <v>  84,344,250 </v>
      </c>
      <c r="I32" s="243" t="str">
        <f t="shared" si="7"/>
        <v>  107,498,068 </v>
      </c>
    </row>
    <row r="33" ht="15.75" customHeight="1">
      <c r="A33" s="242"/>
      <c r="B33" s="252" t="s">
        <v>462</v>
      </c>
      <c r="C33" s="245" t="str">
        <f t="shared" ref="C33:I33" si="8">C31+C32</f>
        <v>  31,329,460 </v>
      </c>
      <c r="D33" s="245" t="str">
        <f t="shared" si="8"/>
        <v>  39,211,254 </v>
      </c>
      <c r="E33" s="245" t="str">
        <f t="shared" si="8"/>
        <v>  50,443,895 </v>
      </c>
      <c r="F33" s="245" t="str">
        <f t="shared" si="8"/>
        <v>  65,367,897 </v>
      </c>
      <c r="G33" s="245" t="str">
        <f t="shared" si="8"/>
        <v>  84,344,250 </v>
      </c>
      <c r="H33" s="245" t="str">
        <f t="shared" si="8"/>
        <v>  107,498,068 </v>
      </c>
      <c r="I33" s="245" t="str">
        <f t="shared" si="8"/>
        <v>  135,216,631 </v>
      </c>
    </row>
    <row r="34" ht="15.75" customHeight="1"/>
    <row r="35" ht="39.75" customHeight="1">
      <c r="A35" s="253" t="s">
        <v>463</v>
      </c>
    </row>
    <row r="36" ht="15.75" customHeight="1"/>
    <row r="37" ht="15.75" customHeight="1">
      <c r="C37" s="208"/>
    </row>
    <row r="38" ht="15.75" customHeight="1">
      <c r="C38" s="208"/>
    </row>
    <row r="39" ht="15.75" customHeight="1">
      <c r="C39" s="208"/>
    </row>
    <row r="40" ht="15.75" customHeight="1">
      <c r="C40" s="208"/>
    </row>
    <row r="41" ht="15.75" customHeight="1">
      <c r="C41" s="208"/>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rintOptions/>
  <pageMargins bottom="0.7480314960629921" footer="0.0" header="0.0" left="0.7086614173228347" right="0.7086614173228347" top="0.7480314960629921"/>
  <pageSetup scale="60" orientation="landscape"/>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Worksheets</vt:lpstr>
      </vt:variant>
      <vt:variant>
        <vt:i4>18</vt:i4>
      </vt:variant>
      <vt:variant>
        <vt:lpstr>Named Ranges</vt:lpstr>
      </vt:variant>
      <vt:variant>
        <vt:i4>17</vt:i4>
      </vt:variant>
    </vt:vector>
  </HeadingPairs>
  <TitlesOfParts>
    <vt:vector baseType="lpstr" size="35">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cp:lastModifiedBy/>
  <dcterms:modified xsi:type="dcterms:W3CDTF">2022-09-22T10:13:06Z</dcterms:modified>
</cp:coreProperties>
</file>